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88" tabRatio="734" activeTab="5"/>
  </bookViews>
  <sheets>
    <sheet name="分組" sheetId="12" r:id="rId1"/>
    <sheet name="分組 (2)" sheetId="13" r:id="rId2"/>
    <sheet name="1110928檢查" sheetId="16" r:id="rId3"/>
    <sheet name="開會" sheetId="17" r:id="rId4"/>
    <sheet name="12月12日專題發表時間" sheetId="21" r:id="rId5"/>
    <sheet name="12月12日專題發表資料" sheetId="20" r:id="rId6"/>
    <sheet name="1221初賽" sheetId="2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2" l="1"/>
  <c r="I29" i="22"/>
  <c r="I26" i="22"/>
  <c r="I24" i="22"/>
  <c r="I23" i="22"/>
  <c r="I20" i="22"/>
  <c r="I21" i="22"/>
  <c r="I13" i="22" l="1"/>
  <c r="I15" i="22"/>
  <c r="I16" i="22"/>
  <c r="I17" i="22"/>
  <c r="I18" i="22"/>
  <c r="I19" i="22"/>
  <c r="I22" i="22"/>
  <c r="J20" i="22" s="1"/>
  <c r="I25" i="22"/>
  <c r="I28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J44" i="22" s="1"/>
  <c r="I45" i="22"/>
  <c r="I46" i="22"/>
  <c r="I47" i="22"/>
  <c r="J46" i="22" s="1"/>
  <c r="I48" i="22"/>
  <c r="I49" i="22"/>
  <c r="I50" i="22"/>
  <c r="J50" i="22" s="1"/>
  <c r="I51" i="22"/>
  <c r="I3" i="22"/>
  <c r="I4" i="22"/>
  <c r="I5" i="22"/>
  <c r="I6" i="22"/>
  <c r="I7" i="22"/>
  <c r="I8" i="22"/>
  <c r="I9" i="22"/>
  <c r="I10" i="22"/>
  <c r="I11" i="22"/>
  <c r="I12" i="22"/>
  <c r="I2" i="22"/>
  <c r="J6" i="22" l="1"/>
  <c r="J48" i="22"/>
  <c r="J2" i="22"/>
  <c r="J38" i="22"/>
  <c r="J35" i="22"/>
  <c r="J41" i="22"/>
  <c r="J32" i="22"/>
  <c r="J29" i="22"/>
  <c r="J26" i="22"/>
  <c r="J23" i="22"/>
  <c r="J16" i="22"/>
  <c r="J14" i="22"/>
  <c r="J18" i="22"/>
  <c r="J12" i="22"/>
  <c r="J10" i="22"/>
  <c r="J8" i="22"/>
  <c r="J4" i="22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  <c r="G2" i="20"/>
  <c r="H2" i="20"/>
  <c r="G3" i="20"/>
  <c r="H3" i="20"/>
  <c r="G4" i="20"/>
  <c r="H4" i="20"/>
  <c r="G5" i="20"/>
  <c r="H5" i="20"/>
  <c r="B6" i="20"/>
  <c r="C6" i="20"/>
  <c r="G6" i="20"/>
  <c r="H6" i="20"/>
  <c r="L6" i="20"/>
  <c r="M6" i="20"/>
  <c r="B7" i="20"/>
  <c r="C7" i="20"/>
  <c r="G7" i="20"/>
  <c r="H7" i="20"/>
  <c r="L7" i="20"/>
  <c r="M7" i="20"/>
  <c r="B8" i="20"/>
  <c r="C8" i="20"/>
  <c r="G8" i="20"/>
  <c r="H8" i="20"/>
  <c r="L8" i="20"/>
  <c r="M8" i="20"/>
  <c r="B9" i="20"/>
  <c r="C9" i="20"/>
  <c r="G9" i="20"/>
  <c r="H9" i="20"/>
  <c r="L9" i="20"/>
  <c r="M9" i="20"/>
  <c r="B10" i="20"/>
  <c r="C10" i="20"/>
  <c r="G10" i="20"/>
  <c r="H10" i="20"/>
  <c r="G11" i="20"/>
  <c r="H11" i="20"/>
  <c r="G12" i="20"/>
  <c r="H12" i="20"/>
  <c r="L12" i="20"/>
  <c r="M12" i="20"/>
  <c r="G13" i="20"/>
  <c r="H13" i="20"/>
  <c r="L13" i="20"/>
  <c r="M13" i="20"/>
  <c r="G14" i="20"/>
  <c r="H14" i="20"/>
  <c r="L14" i="20"/>
  <c r="M14" i="20"/>
  <c r="G15" i="20"/>
  <c r="H15" i="20"/>
  <c r="L15" i="20"/>
  <c r="M15" i="20"/>
  <c r="G16" i="20"/>
  <c r="H16" i="20"/>
  <c r="G17" i="20"/>
  <c r="H17" i="20"/>
  <c r="G20" i="20"/>
  <c r="H20" i="20"/>
  <c r="G21" i="20"/>
  <c r="H21" i="20"/>
  <c r="G22" i="20"/>
  <c r="H22" i="20"/>
  <c r="G23" i="20"/>
  <c r="H23" i="20"/>
  <c r="G24" i="20"/>
  <c r="H24" i="20"/>
  <c r="B25" i="20"/>
  <c r="C25" i="20"/>
  <c r="B26" i="20"/>
  <c r="C26" i="20"/>
  <c r="B27" i="20"/>
  <c r="C27" i="20"/>
  <c r="B28" i="20"/>
  <c r="C28" i="20"/>
  <c r="B30" i="20"/>
  <c r="C30" i="20"/>
  <c r="B31" i="20"/>
  <c r="C31" i="20"/>
  <c r="B32" i="20"/>
  <c r="C32" i="20"/>
  <c r="B33" i="20"/>
  <c r="C33" i="20"/>
  <c r="B34" i="20"/>
  <c r="C34" i="20"/>
  <c r="G35" i="20"/>
  <c r="H35" i="20"/>
  <c r="G36" i="20"/>
  <c r="H36" i="20"/>
  <c r="G37" i="20"/>
  <c r="H37" i="20"/>
  <c r="G38" i="20"/>
  <c r="H38" i="20"/>
  <c r="G39" i="20"/>
  <c r="H39" i="20"/>
  <c r="I49" i="17" l="1"/>
  <c r="H49" i="17"/>
  <c r="I48" i="17"/>
  <c r="H48" i="17"/>
  <c r="I47" i="17"/>
  <c r="H47" i="17"/>
  <c r="I46" i="17"/>
  <c r="H46" i="17"/>
  <c r="I45" i="17"/>
  <c r="H45" i="17"/>
  <c r="I44" i="17"/>
  <c r="H44" i="17"/>
  <c r="I43" i="17"/>
  <c r="H43" i="17"/>
  <c r="I42" i="17"/>
  <c r="H42" i="17"/>
  <c r="I41" i="17"/>
  <c r="H41" i="17"/>
  <c r="I40" i="17"/>
  <c r="H40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3" i="17"/>
  <c r="H3" i="17"/>
  <c r="I2" i="17"/>
  <c r="H2" i="17"/>
  <c r="L44" i="16" l="1"/>
  <c r="K44" i="16"/>
  <c r="J44" i="16"/>
  <c r="L43" i="16"/>
  <c r="K43" i="16"/>
  <c r="J43" i="16"/>
  <c r="L42" i="16"/>
  <c r="K42" i="16"/>
  <c r="J42" i="16"/>
  <c r="L41" i="16"/>
  <c r="K41" i="16"/>
  <c r="J41" i="16"/>
  <c r="L49" i="16"/>
  <c r="K49" i="16"/>
  <c r="J49" i="16"/>
  <c r="L48" i="16"/>
  <c r="K48" i="16"/>
  <c r="J48" i="16"/>
  <c r="L47" i="16"/>
  <c r="K47" i="16"/>
  <c r="J47" i="16"/>
  <c r="L46" i="16"/>
  <c r="K46" i="16"/>
  <c r="J46" i="16"/>
  <c r="L45" i="16"/>
  <c r="K45" i="16"/>
  <c r="J45" i="16"/>
  <c r="L40" i="16"/>
  <c r="K40" i="16"/>
  <c r="J40" i="16"/>
  <c r="L36" i="16"/>
  <c r="K36" i="16"/>
  <c r="J36" i="16"/>
  <c r="L35" i="16"/>
  <c r="K35" i="16"/>
  <c r="J35" i="16"/>
  <c r="L33" i="16"/>
  <c r="K33" i="16"/>
  <c r="J33" i="16"/>
  <c r="L31" i="16"/>
  <c r="K31" i="16"/>
  <c r="J31" i="16"/>
  <c r="L30" i="16"/>
  <c r="K30" i="16"/>
  <c r="J30" i="16"/>
  <c r="L39" i="16"/>
  <c r="K39" i="16"/>
  <c r="J39" i="16"/>
  <c r="L38" i="16"/>
  <c r="K38" i="16"/>
  <c r="J38" i="16"/>
  <c r="L37" i="16"/>
  <c r="K37" i="16"/>
  <c r="J37" i="16"/>
  <c r="L34" i="16"/>
  <c r="K34" i="16"/>
  <c r="J34" i="16"/>
  <c r="L32" i="16"/>
  <c r="K32" i="16"/>
  <c r="J32" i="16"/>
  <c r="L29" i="16"/>
  <c r="K29" i="16"/>
  <c r="J29" i="16"/>
  <c r="L28" i="16"/>
  <c r="K28" i="16"/>
  <c r="J28" i="16"/>
  <c r="L27" i="16"/>
  <c r="K27" i="16"/>
  <c r="J27" i="16"/>
  <c r="L26" i="16"/>
  <c r="K26" i="16"/>
  <c r="J26" i="16"/>
  <c r="L25" i="16"/>
  <c r="K25" i="16"/>
  <c r="J25" i="16"/>
  <c r="L24" i="16"/>
  <c r="K24" i="16"/>
  <c r="J24" i="16"/>
  <c r="L23" i="16"/>
  <c r="K23" i="16"/>
  <c r="J23" i="16"/>
  <c r="L22" i="16"/>
  <c r="K22" i="16"/>
  <c r="J22" i="16"/>
  <c r="L21" i="16"/>
  <c r="K21" i="16"/>
  <c r="J21" i="16"/>
  <c r="L20" i="16"/>
  <c r="K20" i="16"/>
  <c r="J20" i="16"/>
  <c r="L19" i="16"/>
  <c r="K19" i="16"/>
  <c r="J19" i="16"/>
  <c r="L18" i="16"/>
  <c r="K18" i="16"/>
  <c r="J18" i="16"/>
  <c r="L17" i="16"/>
  <c r="K17" i="16"/>
  <c r="J17" i="16"/>
  <c r="L16" i="16"/>
  <c r="K16" i="16"/>
  <c r="J16" i="16"/>
  <c r="L15" i="16"/>
  <c r="K15" i="16"/>
  <c r="J15" i="16"/>
  <c r="L14" i="16"/>
  <c r="K14" i="16"/>
  <c r="J14" i="16"/>
  <c r="L13" i="16"/>
  <c r="K13" i="16"/>
  <c r="J13" i="16"/>
  <c r="L12" i="16"/>
  <c r="K12" i="16"/>
  <c r="J12" i="16"/>
  <c r="L11" i="16"/>
  <c r="K11" i="16"/>
  <c r="J11" i="16"/>
  <c r="L10" i="16"/>
  <c r="K10" i="16"/>
  <c r="J10" i="16"/>
  <c r="L9" i="16"/>
  <c r="K9" i="16"/>
  <c r="J9" i="16"/>
  <c r="L8" i="16"/>
  <c r="K8" i="16"/>
  <c r="J8" i="16"/>
  <c r="L4" i="16"/>
  <c r="K4" i="16"/>
  <c r="J4" i="16"/>
  <c r="L2" i="16"/>
  <c r="K2" i="16"/>
  <c r="J2" i="16"/>
  <c r="L7" i="16"/>
  <c r="K7" i="16"/>
  <c r="J7" i="16"/>
  <c r="L6" i="16"/>
  <c r="K6" i="16"/>
  <c r="J6" i="16"/>
  <c r="L5" i="16"/>
  <c r="K5" i="16"/>
  <c r="J5" i="16"/>
  <c r="L3" i="16"/>
  <c r="K3" i="16"/>
  <c r="J3" i="16"/>
  <c r="H49" i="13" l="1"/>
  <c r="G49" i="13"/>
  <c r="F49" i="13"/>
  <c r="H45" i="13"/>
  <c r="G45" i="13"/>
  <c r="F45" i="13"/>
  <c r="H40" i="13"/>
  <c r="G40" i="13"/>
  <c r="F40" i="13"/>
  <c r="H48" i="13"/>
  <c r="G48" i="13"/>
  <c r="F48" i="13"/>
  <c r="H47" i="13"/>
  <c r="G47" i="13"/>
  <c r="F47" i="13"/>
  <c r="H14" i="13"/>
  <c r="G14" i="13"/>
  <c r="F14" i="13"/>
  <c r="H29" i="13"/>
  <c r="G29" i="13"/>
  <c r="F29" i="13"/>
  <c r="H13" i="13"/>
  <c r="G13" i="13"/>
  <c r="F13" i="13"/>
  <c r="H28" i="13"/>
  <c r="G28" i="13"/>
  <c r="F28" i="13"/>
  <c r="H34" i="13"/>
  <c r="G34" i="13"/>
  <c r="F34" i="13"/>
  <c r="H12" i="13"/>
  <c r="G12" i="13"/>
  <c r="F12" i="13"/>
  <c r="H33" i="13"/>
  <c r="G33" i="13"/>
  <c r="F33" i="13"/>
  <c r="H27" i="13"/>
  <c r="G27" i="13"/>
  <c r="F27" i="13"/>
  <c r="H26" i="13"/>
  <c r="G26" i="13"/>
  <c r="F26" i="13"/>
  <c r="H25" i="13"/>
  <c r="G25" i="13"/>
  <c r="F25" i="13"/>
  <c r="H11" i="13"/>
  <c r="G11" i="13"/>
  <c r="F11" i="13"/>
  <c r="H24" i="13"/>
  <c r="G24" i="13"/>
  <c r="F24" i="13"/>
  <c r="H32" i="13"/>
  <c r="G32" i="13"/>
  <c r="F32" i="13"/>
  <c r="H39" i="13"/>
  <c r="G39" i="13"/>
  <c r="F39" i="13"/>
  <c r="H10" i="13"/>
  <c r="G10" i="13"/>
  <c r="F10" i="13"/>
  <c r="H9" i="13"/>
  <c r="G9" i="13"/>
  <c r="F9" i="13"/>
  <c r="H23" i="13"/>
  <c r="G23" i="13"/>
  <c r="F23" i="13"/>
  <c r="H8" i="13"/>
  <c r="G8" i="13"/>
  <c r="F8" i="13"/>
  <c r="H46" i="13"/>
  <c r="G46" i="13"/>
  <c r="F46" i="13"/>
  <c r="H44" i="13"/>
  <c r="G44" i="13"/>
  <c r="F44" i="13"/>
  <c r="H38" i="13"/>
  <c r="G38" i="13"/>
  <c r="F38" i="13"/>
  <c r="H22" i="13"/>
  <c r="G22" i="13"/>
  <c r="F22" i="13"/>
  <c r="H19" i="13"/>
  <c r="G19" i="13"/>
  <c r="F19" i="13"/>
  <c r="H5" i="13"/>
  <c r="G5" i="13"/>
  <c r="F5" i="13"/>
  <c r="H31" i="13"/>
  <c r="G31" i="13"/>
  <c r="F31" i="13"/>
  <c r="H4" i="13"/>
  <c r="G4" i="13"/>
  <c r="F4" i="13"/>
  <c r="H43" i="13"/>
  <c r="G43" i="13"/>
  <c r="F43" i="13"/>
  <c r="H21" i="13"/>
  <c r="G21" i="13"/>
  <c r="F21" i="13"/>
  <c r="H37" i="13"/>
  <c r="G37" i="13"/>
  <c r="F37" i="13"/>
  <c r="H3" i="13"/>
  <c r="G3" i="13"/>
  <c r="F3" i="13"/>
  <c r="H7" i="13"/>
  <c r="G7" i="13"/>
  <c r="F7" i="13"/>
  <c r="H42" i="13"/>
  <c r="G42" i="13"/>
  <c r="F42" i="13"/>
  <c r="H2" i="13"/>
  <c r="G2" i="13"/>
  <c r="F2" i="13"/>
  <c r="H6" i="13"/>
  <c r="G6" i="13"/>
  <c r="F6" i="13"/>
  <c r="H18" i="13"/>
  <c r="G18" i="13"/>
  <c r="F18" i="13"/>
  <c r="H17" i="13"/>
  <c r="G17" i="13"/>
  <c r="F17" i="13"/>
  <c r="H20" i="13"/>
  <c r="G20" i="13"/>
  <c r="F20" i="13"/>
  <c r="H30" i="13"/>
  <c r="G30" i="13"/>
  <c r="F30" i="13"/>
  <c r="H16" i="13"/>
  <c r="G16" i="13"/>
  <c r="F16" i="13"/>
  <c r="H41" i="13"/>
  <c r="G41" i="13"/>
  <c r="F41" i="13"/>
  <c r="H36" i="13"/>
  <c r="G36" i="13"/>
  <c r="F36" i="13"/>
  <c r="H35" i="13"/>
  <c r="G35" i="13"/>
  <c r="F35" i="13"/>
  <c r="H15" i="13"/>
  <c r="G15" i="13"/>
  <c r="F15" i="13"/>
  <c r="H49" i="12" l="1"/>
  <c r="G49" i="12"/>
  <c r="F49" i="12"/>
  <c r="H48" i="12"/>
  <c r="G48" i="12"/>
  <c r="F48" i="12"/>
  <c r="H47" i="12"/>
  <c r="G47" i="12"/>
  <c r="F47" i="12"/>
  <c r="H46" i="12"/>
  <c r="G46" i="12"/>
  <c r="F46" i="12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33" i="12"/>
  <c r="G33" i="12"/>
  <c r="F33" i="12"/>
  <c r="H32" i="12"/>
  <c r="G32" i="12"/>
  <c r="F32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H20" i="12"/>
  <c r="G20" i="12"/>
  <c r="F20" i="12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G10" i="12"/>
  <c r="F10" i="12"/>
  <c r="H9" i="12"/>
  <c r="G9" i="12"/>
  <c r="F9" i="12"/>
  <c r="H8" i="12"/>
  <c r="G8" i="12"/>
  <c r="F8" i="12"/>
  <c r="H7" i="12"/>
  <c r="G7" i="12"/>
  <c r="F7" i="12"/>
  <c r="H6" i="12"/>
  <c r="G6" i="12"/>
  <c r="F6" i="12"/>
  <c r="H5" i="12"/>
  <c r="G5" i="12"/>
  <c r="F5" i="12"/>
  <c r="H4" i="12"/>
  <c r="G4" i="12"/>
  <c r="F4" i="12"/>
  <c r="H3" i="12"/>
  <c r="G3" i="12"/>
  <c r="F3" i="12"/>
  <c r="H2" i="12"/>
  <c r="G2" i="12"/>
  <c r="F2" i="12"/>
</calcChain>
</file>

<file path=xl/sharedStrings.xml><?xml version="1.0" encoding="utf-8"?>
<sst xmlns="http://schemas.openxmlformats.org/spreadsheetml/2006/main" count="1633" uniqueCount="519">
  <si>
    <t>班級</t>
  </si>
  <si>
    <t>學號</t>
  </si>
  <si>
    <t>姓名</t>
  </si>
  <si>
    <t>指導老師</t>
    <phoneticPr fontId="1" type="noConversion"/>
  </si>
  <si>
    <t>黃心怡1</t>
    <phoneticPr fontId="1" type="noConversion"/>
  </si>
  <si>
    <t>黃幼琳1</t>
    <phoneticPr fontId="1" type="noConversion"/>
  </si>
  <si>
    <t>李靜芠1</t>
    <phoneticPr fontId="1" type="noConversion"/>
  </si>
  <si>
    <t>邱臙珍1</t>
    <phoneticPr fontId="1" type="noConversion"/>
  </si>
  <si>
    <t>陳建宏1</t>
    <phoneticPr fontId="1" type="noConversion"/>
  </si>
  <si>
    <t>魏中瑄1</t>
    <phoneticPr fontId="1" type="noConversion"/>
  </si>
  <si>
    <t>陳庭萱1</t>
    <phoneticPr fontId="1" type="noConversion"/>
  </si>
  <si>
    <t>徐鼎欣1</t>
    <phoneticPr fontId="1" type="noConversion"/>
  </si>
  <si>
    <t>謝孟芬1</t>
    <phoneticPr fontId="1" type="noConversion"/>
  </si>
  <si>
    <t>財金三１</t>
  </si>
  <si>
    <t>1410706035</t>
  </si>
  <si>
    <t>邱政賢</t>
  </si>
  <si>
    <t>1410806001</t>
  </si>
  <si>
    <t>何珮慈</t>
  </si>
  <si>
    <t>1410806002</t>
  </si>
  <si>
    <t>張孟蕙</t>
  </si>
  <si>
    <t>1410806003</t>
  </si>
  <si>
    <t>陳庭葳</t>
  </si>
  <si>
    <t>1410806004</t>
  </si>
  <si>
    <t>王心怡</t>
  </si>
  <si>
    <t>1410806005</t>
  </si>
  <si>
    <t>江孟潔</t>
  </si>
  <si>
    <t>1410806006</t>
  </si>
  <si>
    <t>吳悅慈</t>
  </si>
  <si>
    <t>1410806007</t>
  </si>
  <si>
    <t>李沛玲</t>
  </si>
  <si>
    <t>1410806008</t>
  </si>
  <si>
    <t>林宛筠</t>
  </si>
  <si>
    <t>1410806009</t>
  </si>
  <si>
    <t>邱雅君</t>
  </si>
  <si>
    <t>1410806010</t>
  </si>
  <si>
    <t>孫昀琪</t>
  </si>
  <si>
    <t>1410806011</t>
  </si>
  <si>
    <t>梁連佳</t>
  </si>
  <si>
    <t>1410806012</t>
  </si>
  <si>
    <t>許婞瑜</t>
  </si>
  <si>
    <t>1410806013</t>
  </si>
  <si>
    <t>陳怡君</t>
  </si>
  <si>
    <t>1410806014</t>
  </si>
  <si>
    <t>陳德齡</t>
  </si>
  <si>
    <t>1410806015</t>
  </si>
  <si>
    <t>黃郁琳</t>
  </si>
  <si>
    <t>1410806016</t>
  </si>
  <si>
    <t>黃詩涵</t>
  </si>
  <si>
    <t>1410806017</t>
  </si>
  <si>
    <t>廖怡禎</t>
  </si>
  <si>
    <t>1410806018</t>
  </si>
  <si>
    <t>蔡咏頤</t>
  </si>
  <si>
    <t>1410806019</t>
  </si>
  <si>
    <t>鄧淨文</t>
  </si>
  <si>
    <t>1410806020</t>
  </si>
  <si>
    <t>謝有雅</t>
  </si>
  <si>
    <t>1410806021</t>
  </si>
  <si>
    <t>張琇婷</t>
  </si>
  <si>
    <t>1410806022</t>
  </si>
  <si>
    <t>王羿婷</t>
  </si>
  <si>
    <t>1410806023</t>
  </si>
  <si>
    <t>王湘菱</t>
  </si>
  <si>
    <t>1410806024</t>
  </si>
  <si>
    <t>余佳錚</t>
  </si>
  <si>
    <t>1410806025</t>
  </si>
  <si>
    <t>林巧薇</t>
  </si>
  <si>
    <t>1410806026</t>
  </si>
  <si>
    <t>林芳宇</t>
  </si>
  <si>
    <t>1410806027</t>
  </si>
  <si>
    <t>張岑瑄</t>
  </si>
  <si>
    <t>1410806028</t>
  </si>
  <si>
    <t>張靜宜</t>
  </si>
  <si>
    <t>1410806029</t>
  </si>
  <si>
    <t>陳泓如</t>
  </si>
  <si>
    <t>1410806030</t>
  </si>
  <si>
    <t>彭楷婷</t>
  </si>
  <si>
    <t>1410806031</t>
  </si>
  <si>
    <t>黃瑞渝</t>
  </si>
  <si>
    <t>1410806032</t>
  </si>
  <si>
    <t>趙苡伶</t>
  </si>
  <si>
    <t>1410806033</t>
  </si>
  <si>
    <t>蕭鈺靜</t>
  </si>
  <si>
    <t>1410806034</t>
  </si>
  <si>
    <t>李丞越</t>
  </si>
  <si>
    <t>1410806035</t>
  </si>
  <si>
    <t>張詠翔</t>
  </si>
  <si>
    <t>1410806036</t>
  </si>
  <si>
    <t>1410806037</t>
  </si>
  <si>
    <t>湯佳霖</t>
  </si>
  <si>
    <t>1410806038</t>
  </si>
  <si>
    <t>林文彬</t>
  </si>
  <si>
    <t>1410806039</t>
  </si>
  <si>
    <t>吳家呈</t>
  </si>
  <si>
    <t>1410806040</t>
  </si>
  <si>
    <t>林鈺翔</t>
  </si>
  <si>
    <t>1410806041</t>
  </si>
  <si>
    <t>張兆瑋</t>
  </si>
  <si>
    <t>1410806042</t>
  </si>
  <si>
    <t>許承祐</t>
  </si>
  <si>
    <t>1410806043</t>
  </si>
  <si>
    <t>陳桓亨</t>
  </si>
  <si>
    <t>1410806044</t>
  </si>
  <si>
    <t>游凡毅</t>
  </si>
  <si>
    <t>1410806045</t>
  </si>
  <si>
    <t>黃暉鈞</t>
  </si>
  <si>
    <t>1410806046</t>
  </si>
  <si>
    <t>謝佑翔</t>
  </si>
  <si>
    <t>1410806093</t>
  </si>
  <si>
    <t>羅漢杰</t>
  </si>
  <si>
    <t>1410807001</t>
  </si>
  <si>
    <t>江思淇</t>
  </si>
  <si>
    <t>1410831026</t>
  </si>
  <si>
    <t>李承威</t>
  </si>
  <si>
    <t>陳庭萱1</t>
    <phoneticPr fontId="1" type="noConversion"/>
  </si>
  <si>
    <t>邱臙珍1</t>
    <phoneticPr fontId="1" type="noConversion"/>
  </si>
  <si>
    <t>謝孟芬1</t>
    <phoneticPr fontId="1" type="noConversion"/>
  </si>
  <si>
    <t>李靜芠1</t>
    <phoneticPr fontId="1" type="noConversion"/>
  </si>
  <si>
    <t>魏中瑄1</t>
    <phoneticPr fontId="1" type="noConversion"/>
  </si>
  <si>
    <t>黃心怡1</t>
    <phoneticPr fontId="1" type="noConversion"/>
  </si>
  <si>
    <t>周佩儀1</t>
    <phoneticPr fontId="1" type="noConversion"/>
  </si>
  <si>
    <t>葉志權1</t>
    <phoneticPr fontId="1" type="noConversion"/>
  </si>
  <si>
    <t>徐鼎欣1</t>
    <phoneticPr fontId="1" type="noConversion"/>
  </si>
  <si>
    <t>黃幼琳1</t>
    <phoneticPr fontId="1" type="noConversion"/>
  </si>
  <si>
    <t>邱臙珍2</t>
  </si>
  <si>
    <t>謝孟芬2</t>
  </si>
  <si>
    <t>謝孟芬3</t>
  </si>
  <si>
    <t>李靜芠2</t>
  </si>
  <si>
    <t>魏中瑄2</t>
  </si>
  <si>
    <t>黃心怡2</t>
  </si>
  <si>
    <t>周佩儀2</t>
  </si>
  <si>
    <t>葉志權2</t>
  </si>
  <si>
    <t>黃幼琳2</t>
  </si>
  <si>
    <t>黃幼琳3</t>
  </si>
  <si>
    <t>許勝祁</t>
    <phoneticPr fontId="1" type="noConversion"/>
  </si>
  <si>
    <t>陳建宏1</t>
    <phoneticPr fontId="1" type="noConversion"/>
  </si>
  <si>
    <t>黃幼琳1</t>
    <phoneticPr fontId="1" type="noConversion"/>
  </si>
  <si>
    <t>張詠翔</t>
    <phoneticPr fontId="1" type="noConversion"/>
  </si>
  <si>
    <t>備註</t>
    <phoneticPr fontId="1" type="noConversion"/>
  </si>
  <si>
    <t>李瑞琳</t>
    <phoneticPr fontId="1" type="noConversion"/>
  </si>
  <si>
    <t>許義忠</t>
    <phoneticPr fontId="1" type="noConversion"/>
  </si>
  <si>
    <t>黃心怡</t>
    <phoneticPr fontId="1" type="noConversion"/>
  </si>
  <si>
    <t>謝孟芬1</t>
    <phoneticPr fontId="1" type="noConversion"/>
  </si>
  <si>
    <t>謝孟芬2</t>
    <phoneticPr fontId="1" type="noConversion"/>
  </si>
  <si>
    <t>徐鼎欣</t>
    <phoneticPr fontId="1" type="noConversion"/>
  </si>
  <si>
    <t>財金四１</t>
  </si>
  <si>
    <t>財金四２</t>
  </si>
  <si>
    <t>洪證淇</t>
  </si>
  <si>
    <t>賴冠順</t>
  </si>
  <si>
    <t>黃家保</t>
  </si>
  <si>
    <t>許勝</t>
  </si>
  <si>
    <t>佘欣潓</t>
  </si>
  <si>
    <t>陳庭萱</t>
    <phoneticPr fontId="1" type="noConversion"/>
  </si>
  <si>
    <t>葉志權</t>
    <phoneticPr fontId="1" type="noConversion"/>
  </si>
  <si>
    <t>莊維銘</t>
  </si>
  <si>
    <t>邵名嘉</t>
  </si>
  <si>
    <t>陳智翔</t>
  </si>
  <si>
    <t>黃慶洲</t>
  </si>
  <si>
    <t>張蕙讌</t>
  </si>
  <si>
    <t>林嘉鴻</t>
  </si>
  <si>
    <t>鄧金英</t>
  </si>
  <si>
    <t>李昀珊</t>
  </si>
  <si>
    <t>詹芷瑜</t>
  </si>
  <si>
    <t>石若彣</t>
  </si>
  <si>
    <t>傅雅琴</t>
  </si>
  <si>
    <t>許躍騰</t>
  </si>
  <si>
    <t>王聖齊</t>
  </si>
  <si>
    <t>許家源</t>
  </si>
  <si>
    <t>謝孟芬-許義忠</t>
    <phoneticPr fontId="1" type="noConversion"/>
  </si>
  <si>
    <t>謝孟芬-李瑞琳</t>
    <phoneticPr fontId="1" type="noConversion"/>
  </si>
  <si>
    <t>謝孟芬-陳建宏</t>
    <phoneticPr fontId="1" type="noConversion"/>
  </si>
  <si>
    <t>李靜芠</t>
    <phoneticPr fontId="1" type="noConversion"/>
  </si>
  <si>
    <t>周佩儀</t>
    <phoneticPr fontId="1" type="noConversion"/>
  </si>
  <si>
    <t>黃心怡</t>
    <phoneticPr fontId="1" type="noConversion"/>
  </si>
  <si>
    <t>黃幼琳</t>
    <phoneticPr fontId="1" type="noConversion"/>
  </si>
  <si>
    <t>魏中瑄</t>
    <phoneticPr fontId="1" type="noConversion"/>
  </si>
  <si>
    <t>邱臙珍</t>
    <phoneticPr fontId="1" type="noConversion"/>
  </si>
  <si>
    <t>陳建宏</t>
    <phoneticPr fontId="1" type="noConversion"/>
  </si>
  <si>
    <t>黃幼琳</t>
    <phoneticPr fontId="1" type="noConversion"/>
  </si>
  <si>
    <t>許晏禎</t>
  </si>
  <si>
    <t>賴宣涵</t>
  </si>
  <si>
    <t>宋雁荻</t>
  </si>
  <si>
    <t>黃莘雅</t>
  </si>
  <si>
    <t>戴宏貞</t>
  </si>
  <si>
    <t>周宥妘</t>
  </si>
  <si>
    <t>劉佳瑄</t>
  </si>
  <si>
    <t>王傳硯</t>
  </si>
  <si>
    <t>李浩宇</t>
  </si>
  <si>
    <t>張翔堉</t>
  </si>
  <si>
    <t>范蔆玲</t>
  </si>
  <si>
    <t>林思均</t>
  </si>
  <si>
    <t>吳盈萱</t>
  </si>
  <si>
    <t>林怡妘</t>
  </si>
  <si>
    <t>姚又瑄</t>
  </si>
  <si>
    <t>王翊玟</t>
  </si>
  <si>
    <t>張耘甄</t>
  </si>
  <si>
    <t>莊詠婕</t>
  </si>
  <si>
    <t>陳雅琪</t>
  </si>
  <si>
    <t>游采霖</t>
  </si>
  <si>
    <t>蔡姄玹</t>
  </si>
  <si>
    <t>謝昀軒</t>
  </si>
  <si>
    <t>郭美汎</t>
  </si>
  <si>
    <t>程宥羚</t>
  </si>
  <si>
    <t>詹羽涵</t>
  </si>
  <si>
    <t>石旻昕</t>
  </si>
  <si>
    <t>陳玉芳</t>
  </si>
  <si>
    <t>蔡旻芩</t>
  </si>
  <si>
    <t>林佩諭</t>
  </si>
  <si>
    <t>許少瑜</t>
  </si>
  <si>
    <t>題目</t>
    <phoneticPr fontId="1" type="noConversion"/>
  </si>
  <si>
    <t>題目</t>
    <phoneticPr fontId="1" type="noConversion"/>
  </si>
  <si>
    <t>指導老師</t>
    <phoneticPr fontId="1" type="noConversion"/>
  </si>
  <si>
    <t>我國綠色債券市場發展探析</t>
    <phoneticPr fontId="1" type="noConversion"/>
  </si>
  <si>
    <t>影響台灣銀行業利差因素之分析</t>
    <phoneticPr fontId="1" type="noConversion"/>
  </si>
  <si>
    <t>企業社會責任對企業營運之影響</t>
    <phoneticPr fontId="1" type="noConversion"/>
  </si>
  <si>
    <t>葉志權1</t>
    <phoneticPr fontId="1" type="noConversion"/>
  </si>
  <si>
    <t>實證探討減碳與研究發展對經營績效的調節效果</t>
    <phoneticPr fontId="1" type="noConversion"/>
  </si>
  <si>
    <t>題目</t>
    <phoneticPr fontId="1" type="noConversion"/>
  </si>
  <si>
    <t>併購公司經理人過度自信與公司治理對經營績效之影響</t>
    <phoneticPr fontId="1" type="noConversion"/>
  </si>
  <si>
    <t>邱臙珍1</t>
    <phoneticPr fontId="1" type="noConversion"/>
  </si>
  <si>
    <t>李靜芠1</t>
    <phoneticPr fontId="1" type="noConversion"/>
  </si>
  <si>
    <t>許勝祁</t>
    <phoneticPr fontId="1" type="noConversion"/>
  </si>
  <si>
    <t>李靜芠1</t>
    <phoneticPr fontId="1" type="noConversion"/>
  </si>
  <si>
    <t xml:space="preserve">行動支付與消費者心理帳戶之關聯
</t>
    <phoneticPr fontId="1" type="noConversion"/>
  </si>
  <si>
    <t>周佩儀1</t>
    <phoneticPr fontId="1" type="noConversion"/>
  </si>
  <si>
    <t>陳建宏1</t>
    <phoneticPr fontId="1" type="noConversion"/>
  </si>
  <si>
    <t>陳建宏1</t>
    <phoneticPr fontId="1" type="noConversion"/>
  </si>
  <si>
    <t>Fintech對於銀行放款利率的影響</t>
    <phoneticPr fontId="1" type="noConversion"/>
  </si>
  <si>
    <t>陳庭萱1</t>
    <phoneticPr fontId="1" type="noConversion"/>
  </si>
  <si>
    <t>陳庭萱1</t>
    <phoneticPr fontId="1" type="noConversion"/>
  </si>
  <si>
    <t>陳庭萱1</t>
    <phoneticPr fontId="1" type="noConversion"/>
  </si>
  <si>
    <t>徐鼎欣1</t>
    <phoneticPr fontId="1" type="noConversion"/>
  </si>
  <si>
    <t>ESG 趨勢發展及利弊之個案分析</t>
    <phoneticPr fontId="1" type="noConversion"/>
  </si>
  <si>
    <t>徐鼎欣1</t>
    <phoneticPr fontId="1" type="noConversion"/>
  </si>
  <si>
    <t>黃幼琳1</t>
    <phoneticPr fontId="1" type="noConversion"/>
  </si>
  <si>
    <t>黃心怡1</t>
    <phoneticPr fontId="1" type="noConversion"/>
  </si>
  <si>
    <t>資本結構與現金減資決策</t>
    <phoneticPr fontId="1" type="noConversion"/>
  </si>
  <si>
    <t>探討電商公司併購行為之效益</t>
    <phoneticPr fontId="1" type="noConversion"/>
  </si>
  <si>
    <t>葉志權1</t>
    <phoneticPr fontId="1" type="noConversion"/>
  </si>
  <si>
    <t>女性董事與企業薪資平等之探討</t>
    <phoneticPr fontId="1" type="noConversion"/>
  </si>
  <si>
    <t>葉志權1</t>
    <phoneticPr fontId="1" type="noConversion"/>
  </si>
  <si>
    <t>黃幼琳1</t>
    <phoneticPr fontId="1" type="noConversion"/>
  </si>
  <si>
    <t>Covid-19背景下的股票報酬與油價間的關係</t>
    <phoneticPr fontId="1" type="noConversion"/>
  </si>
  <si>
    <t>企業發行綠色債券對股價之影響</t>
    <phoneticPr fontId="1" type="noConversion"/>
  </si>
  <si>
    <t>魏中瑄1</t>
    <phoneticPr fontId="1" type="noConversion"/>
  </si>
  <si>
    <t>許義忠</t>
    <phoneticPr fontId="1" type="noConversion"/>
  </si>
  <si>
    <t>ESG評級是否影響企業借款利率</t>
    <phoneticPr fontId="1" type="noConversion"/>
  </si>
  <si>
    <t>李瑞琳</t>
    <phoneticPr fontId="1" type="noConversion"/>
  </si>
  <si>
    <t>經濟政策不確定性對銀行流動性創造影響</t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</si>
  <si>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口試委員：葉志權、徐鼎欣、許義忠</t>
    </r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</si>
  <si>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口試委員：黃幼琳、邱臙珍、陳秀桂</t>
    </r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</si>
  <si>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口試委員：黃心怡、李靜芠、周佩儀</t>
    </r>
    <phoneticPr fontId="1" type="noConversion"/>
  </si>
  <si>
    <r>
      <rPr>
        <sz val="14"/>
        <color theme="1"/>
        <rFont val="微軟正黑體"/>
        <family val="2"/>
        <charset val="136"/>
      </rPr>
      <t>葉志權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</si>
  <si>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黃幼琳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</si>
  <si>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趙苡伶</t>
    </r>
  </si>
  <si>
    <r>
      <rPr>
        <sz val="14"/>
        <color theme="1"/>
        <rFont val="微軟正黑體"/>
        <family val="2"/>
        <charset val="136"/>
      </rPr>
      <t>財金四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</si>
  <si>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微軟正黑體"/>
        <family val="2"/>
        <charset val="136"/>
      </rPr>
      <t>葉志權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</si>
  <si>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陳建宏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</si>
  <si>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黃暉鈞</t>
    </r>
    <phoneticPr fontId="1" type="noConversion"/>
  </si>
  <si>
    <r>
      <rPr>
        <sz val="14"/>
        <color theme="1"/>
        <rFont val="微軟正黑體"/>
        <family val="2"/>
        <charset val="136"/>
      </rPr>
      <t>黃幼琳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</si>
  <si>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陳怡君</t>
    </r>
  </si>
  <si>
    <r>
      <rPr>
        <sz val="14"/>
        <color theme="1"/>
        <rFont val="微軟正黑體"/>
        <family val="2"/>
        <charset val="136"/>
      </rPr>
      <t>陳建宏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</si>
  <si>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游凡毅</t>
    </r>
  </si>
  <si>
    <r>
      <rPr>
        <sz val="14"/>
        <color theme="1"/>
        <rFont val="微軟正黑體"/>
        <family val="2"/>
        <charset val="136"/>
      </rPr>
      <t>許婞瑜</t>
    </r>
  </si>
  <si>
    <r>
      <rPr>
        <sz val="14"/>
        <color theme="1"/>
        <rFont val="微軟正黑體"/>
        <family val="2"/>
        <charset val="136"/>
      </rPr>
      <t>張兆瑋</t>
    </r>
  </si>
  <si>
    <r>
      <rPr>
        <sz val="14"/>
        <color theme="1"/>
        <rFont val="微軟正黑體"/>
        <family val="2"/>
        <charset val="136"/>
      </rPr>
      <t>女性董事與企業薪資平等之探討</t>
    </r>
    <phoneticPr fontId="1" type="noConversion"/>
  </si>
  <si>
    <r>
      <rPr>
        <sz val="14"/>
        <color theme="1"/>
        <rFont val="微軟正黑體"/>
        <family val="2"/>
        <charset val="136"/>
      </rPr>
      <t>黃幼琳</t>
    </r>
    <phoneticPr fontId="1" type="noConversion"/>
  </si>
  <si>
    <r>
      <rPr>
        <sz val="14"/>
        <color theme="1"/>
        <rFont val="微軟正黑體"/>
        <family val="2"/>
        <charset val="136"/>
      </rPr>
      <t>黃幼琳</t>
    </r>
    <phoneticPr fontId="1" type="noConversion"/>
  </si>
  <si>
    <r>
      <rPr>
        <sz val="14"/>
        <color theme="1"/>
        <rFont val="微軟正黑體"/>
        <family val="2"/>
        <charset val="136"/>
      </rPr>
      <t>王心怡</t>
    </r>
  </si>
  <si>
    <r>
      <rPr>
        <sz val="14"/>
        <color theme="1"/>
        <rFont val="微軟正黑體"/>
        <family val="2"/>
        <charset val="136"/>
      </rPr>
      <t>實證探討減碳與研究發展對經營績效的調節效果</t>
    </r>
    <phoneticPr fontId="1" type="noConversion"/>
  </si>
  <si>
    <r>
      <rPr>
        <sz val="14"/>
        <color theme="1"/>
        <rFont val="微軟正黑體"/>
        <family val="2"/>
        <charset val="136"/>
      </rPr>
      <t>葉志權</t>
    </r>
    <phoneticPr fontId="1" type="noConversion"/>
  </si>
  <si>
    <r>
      <rPr>
        <sz val="14"/>
        <color theme="1"/>
        <rFont val="微軟正黑體"/>
        <family val="2"/>
        <charset val="136"/>
      </rPr>
      <t>企業發行綠色債券對股價之影響</t>
    </r>
    <phoneticPr fontId="1" type="noConversion"/>
  </si>
  <si>
    <r>
      <rPr>
        <sz val="14"/>
        <color theme="1"/>
        <rFont val="微軟正黑體"/>
        <family val="2"/>
        <charset val="136"/>
      </rPr>
      <t>陳建宏
戴錦周</t>
    </r>
    <phoneticPr fontId="1" type="noConversion"/>
  </si>
  <si>
    <r>
      <rPr>
        <sz val="14"/>
        <color theme="1"/>
        <rFont val="微軟正黑體"/>
        <family val="2"/>
        <charset val="136"/>
      </rPr>
      <t>李丞越</t>
    </r>
  </si>
  <si>
    <r>
      <rPr>
        <sz val="14"/>
        <color theme="1"/>
        <rFont val="微軟正黑體"/>
        <family val="2"/>
        <charset val="136"/>
      </rPr>
      <t>周佩儀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</si>
  <si>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張靜宜</t>
    </r>
  </si>
  <si>
    <r>
      <rPr>
        <sz val="14"/>
        <color theme="1"/>
        <rFont val="微軟正黑體"/>
        <family val="2"/>
        <charset val="136"/>
      </rPr>
      <t>邱臙珍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</si>
  <si>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黃心怡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</si>
  <si>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羅漢杰</t>
    </r>
  </si>
  <si>
    <r>
      <rPr>
        <sz val="14"/>
        <color theme="1"/>
        <rFont val="微軟正黑體"/>
        <family val="2"/>
        <charset val="136"/>
      </rPr>
      <t>廖怡禎</t>
    </r>
  </si>
  <si>
    <r>
      <rPr>
        <sz val="14"/>
        <color theme="1"/>
        <rFont val="微軟正黑體"/>
        <family val="2"/>
        <charset val="136"/>
      </rPr>
      <t>謝佑翔</t>
    </r>
  </si>
  <si>
    <r>
      <rPr>
        <sz val="14"/>
        <color theme="1"/>
        <rFont val="微軟正黑體"/>
        <family val="2"/>
        <charset val="136"/>
      </rPr>
      <t>黃郁琳</t>
    </r>
  </si>
  <si>
    <r>
      <rPr>
        <sz val="14"/>
        <color theme="1"/>
        <rFont val="微軟正黑體"/>
        <family val="2"/>
        <charset val="136"/>
      </rPr>
      <t>林鈺翔</t>
    </r>
  </si>
  <si>
    <r>
      <rPr>
        <sz val="14"/>
        <color theme="1"/>
        <rFont val="微軟正黑體"/>
        <family val="2"/>
        <charset val="136"/>
      </rPr>
      <t>梁連佳</t>
    </r>
  </si>
  <si>
    <r>
      <rPr>
        <sz val="14"/>
        <color theme="1"/>
        <rFont val="微軟正黑體"/>
        <family val="2"/>
        <charset val="136"/>
      </rPr>
      <t>探討電商公司併購行為之效益</t>
    </r>
    <phoneticPr fontId="1" type="noConversion"/>
  </si>
  <si>
    <r>
      <rPr>
        <sz val="14"/>
        <color theme="1"/>
        <rFont val="微軟正黑體"/>
        <family val="2"/>
        <charset val="136"/>
      </rPr>
      <t>黃心怡</t>
    </r>
    <phoneticPr fontId="1" type="noConversion"/>
  </si>
  <si>
    <r>
      <rPr>
        <sz val="14"/>
        <color theme="1"/>
        <rFont val="微軟正黑體"/>
        <family val="2"/>
        <charset val="136"/>
      </rPr>
      <t>吳家呈</t>
    </r>
  </si>
  <si>
    <r>
      <rPr>
        <sz val="14"/>
        <color theme="1"/>
        <rFont val="微軟正黑體"/>
        <family val="2"/>
        <charset val="136"/>
      </rPr>
      <t>以資料包絡分析法探討臺灣金融業</t>
    </r>
    <r>
      <rPr>
        <sz val="14"/>
        <color theme="1"/>
        <rFont val="Times New Roman"/>
        <family val="1"/>
      </rPr>
      <t>ESG</t>
    </r>
    <r>
      <rPr>
        <sz val="14"/>
        <color theme="1"/>
        <rFont val="微軟正黑體"/>
        <family val="2"/>
        <charset val="136"/>
      </rPr>
      <t>與經營績效之關係</t>
    </r>
    <phoneticPr fontId="1" type="noConversion"/>
  </si>
  <si>
    <r>
      <rPr>
        <sz val="14"/>
        <color theme="1"/>
        <rFont val="微軟正黑體"/>
        <family val="2"/>
        <charset val="136"/>
      </rPr>
      <t>周佩儀</t>
    </r>
    <phoneticPr fontId="1" type="noConversion"/>
  </si>
  <si>
    <r>
      <rPr>
        <sz val="14"/>
        <color theme="1"/>
        <rFont val="微軟正黑體"/>
        <family val="2"/>
        <charset val="136"/>
      </rPr>
      <t>李沛玲</t>
    </r>
  </si>
  <si>
    <r>
      <rPr>
        <sz val="14"/>
        <color theme="1"/>
        <rFont val="微軟正黑體"/>
        <family val="2"/>
        <charset val="136"/>
      </rPr>
      <t>我國綠色債券市場發展探析</t>
    </r>
    <phoneticPr fontId="1" type="noConversion"/>
  </si>
  <si>
    <r>
      <rPr>
        <sz val="14"/>
        <color theme="1"/>
        <rFont val="微軟正黑體"/>
        <family val="2"/>
        <charset val="136"/>
      </rPr>
      <t>邱臙珍</t>
    </r>
    <phoneticPr fontId="1" type="noConversion"/>
  </si>
  <si>
    <r>
      <rPr>
        <sz val="14"/>
        <color theme="1"/>
        <rFont val="微軟正黑體"/>
        <family val="2"/>
        <charset val="136"/>
      </rPr>
      <t>黃心怡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</si>
  <si>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黃心怡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</si>
  <si>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張岑瑄</t>
    </r>
  </si>
  <si>
    <r>
      <rPr>
        <sz val="14"/>
        <color theme="1"/>
        <rFont val="微軟正黑體"/>
        <family val="2"/>
        <charset val="136"/>
      </rPr>
      <t>徐鼎欣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</si>
  <si>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李承威</t>
    </r>
  </si>
  <si>
    <r>
      <rPr>
        <sz val="14"/>
        <color theme="1"/>
        <rFont val="微軟正黑體"/>
        <family val="2"/>
        <charset val="136"/>
      </rPr>
      <t>黃心怡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</si>
  <si>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王湘菱</t>
    </r>
  </si>
  <si>
    <r>
      <rPr>
        <sz val="14"/>
        <color theme="1"/>
        <rFont val="微軟正黑體"/>
        <family val="2"/>
        <charset val="136"/>
      </rPr>
      <t>徐鼎欣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</si>
  <si>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林文彬</t>
    </r>
  </si>
  <si>
    <r>
      <rPr>
        <sz val="14"/>
        <color theme="1"/>
        <rFont val="微軟正黑體"/>
        <family val="2"/>
        <charset val="136"/>
      </rPr>
      <t>黃幼琳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</si>
  <si>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黃詩涵</t>
    </r>
  </si>
  <si>
    <r>
      <rPr>
        <sz val="14"/>
        <color theme="1"/>
        <rFont val="微軟正黑體"/>
        <family val="2"/>
        <charset val="136"/>
      </rPr>
      <t>徐鼎欣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</si>
  <si>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林巧薇</t>
    </r>
  </si>
  <si>
    <r>
      <rPr>
        <sz val="14"/>
        <color theme="1"/>
        <rFont val="微軟正黑體"/>
        <family val="2"/>
        <charset val="136"/>
      </rPr>
      <t>陳德齡</t>
    </r>
  </si>
  <si>
    <r>
      <rPr>
        <sz val="14"/>
        <color theme="1"/>
        <rFont val="微軟正黑體"/>
        <family val="2"/>
        <charset val="136"/>
      </rPr>
      <t>吳悅慈</t>
    </r>
  </si>
  <si>
    <r>
      <rPr>
        <sz val="14"/>
        <color theme="1"/>
        <rFont val="微軟正黑體"/>
        <family val="2"/>
        <charset val="136"/>
      </rPr>
      <t>黃幼琳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</si>
  <si>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專利訴訟是否會影響公司的併購能力及未來公司創新能力</t>
    </r>
    <phoneticPr fontId="1" type="noConversion"/>
  </si>
  <si>
    <r>
      <rPr>
        <sz val="14"/>
        <color theme="1"/>
        <rFont val="微軟正黑體"/>
        <family val="2"/>
        <charset val="136"/>
      </rPr>
      <t>黃心怡</t>
    </r>
    <phoneticPr fontId="1" type="noConversion"/>
  </si>
  <si>
    <r>
      <rPr>
        <sz val="14"/>
        <color theme="1"/>
        <rFont val="微軟正黑體"/>
        <family val="2"/>
        <charset val="136"/>
      </rPr>
      <t>孫昀琪</t>
    </r>
  </si>
  <si>
    <r>
      <t>ESG</t>
    </r>
    <r>
      <rPr>
        <sz val="14"/>
        <color theme="1"/>
        <rFont val="微軟正黑體"/>
        <family val="2"/>
        <charset val="136"/>
      </rPr>
      <t>趨勢發展及利弊之個案分析</t>
    </r>
  </si>
  <si>
    <r>
      <rPr>
        <sz val="14"/>
        <color theme="1"/>
        <rFont val="微軟正黑體"/>
        <family val="2"/>
        <charset val="136"/>
      </rPr>
      <t>徐鼎欣</t>
    </r>
    <phoneticPr fontId="1" type="noConversion"/>
  </si>
  <si>
    <r>
      <rPr>
        <sz val="14"/>
        <color theme="1"/>
        <rFont val="微軟正黑體"/>
        <family val="2"/>
        <charset val="136"/>
      </rPr>
      <t>張孟蕙</t>
    </r>
  </si>
  <si>
    <r>
      <rPr>
        <sz val="14"/>
        <color theme="1"/>
        <rFont val="微軟正黑體"/>
        <family val="2"/>
        <charset val="136"/>
      </rPr>
      <t>企業社會責任對企業營運之影響</t>
    </r>
    <phoneticPr fontId="1" type="noConversion"/>
  </si>
  <si>
    <r>
      <rPr>
        <sz val="14"/>
        <color theme="1"/>
        <rFont val="微軟正黑體"/>
        <family val="2"/>
        <charset val="136"/>
      </rPr>
      <t>許義忠</t>
    </r>
    <phoneticPr fontId="1" type="noConversion"/>
  </si>
  <si>
    <r>
      <rPr>
        <sz val="14"/>
        <color theme="1"/>
        <rFont val="微軟正黑體"/>
        <family val="2"/>
        <charset val="136"/>
      </rPr>
      <t>魏中瑄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</si>
  <si>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陳桓亨</t>
    </r>
  </si>
  <si>
    <r>
      <rPr>
        <sz val="14"/>
        <color theme="1"/>
        <rFont val="微軟正黑體"/>
        <family val="2"/>
        <charset val="136"/>
      </rPr>
      <t>周佩儀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</si>
  <si>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蕭鈺靜</t>
    </r>
  </si>
  <si>
    <r>
      <rPr>
        <sz val="14"/>
        <color theme="1"/>
        <rFont val="微軟正黑體"/>
        <family val="2"/>
        <charset val="136"/>
      </rPr>
      <t>許承祐</t>
    </r>
  </si>
  <si>
    <r>
      <rPr>
        <sz val="14"/>
        <color theme="1"/>
        <rFont val="微軟正黑體"/>
        <family val="2"/>
        <charset val="136"/>
      </rPr>
      <t>周佩儀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</si>
  <si>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彭楷婷</t>
    </r>
  </si>
  <si>
    <r>
      <rPr>
        <sz val="14"/>
        <color theme="1"/>
        <rFont val="微軟正黑體"/>
        <family val="2"/>
        <charset val="136"/>
      </rPr>
      <t>湯佳霖</t>
    </r>
  </si>
  <si>
    <r>
      <rPr>
        <sz val="14"/>
        <color theme="1"/>
        <rFont val="微軟正黑體"/>
        <family val="2"/>
        <charset val="136"/>
      </rPr>
      <t>周佩儀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</si>
  <si>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陳泓如</t>
    </r>
  </si>
  <si>
    <r>
      <rPr>
        <sz val="14"/>
        <color theme="1"/>
        <rFont val="微軟正黑體"/>
        <family val="2"/>
        <charset val="136"/>
      </rPr>
      <t>許義忠</t>
    </r>
    <phoneticPr fontId="1" type="noConversion"/>
  </si>
  <si>
    <r>
      <rPr>
        <sz val="14"/>
        <color theme="1"/>
        <rFont val="微軟正黑體"/>
        <family val="2"/>
        <charset val="136"/>
      </rPr>
      <t>陳庭葳</t>
    </r>
  </si>
  <si>
    <r>
      <rPr>
        <sz val="14"/>
        <color theme="1"/>
        <rFont val="微軟正黑體"/>
        <family val="2"/>
        <charset val="136"/>
      </rPr>
      <t>行動支付與消費者心理帳戶之關聯</t>
    </r>
    <phoneticPr fontId="1" type="noConversion"/>
  </si>
  <si>
    <r>
      <rPr>
        <sz val="14"/>
        <color theme="1"/>
        <rFont val="微軟正黑體"/>
        <family val="2"/>
        <charset val="136"/>
      </rPr>
      <t>周佩儀</t>
    </r>
    <phoneticPr fontId="1" type="noConversion"/>
  </si>
  <si>
    <r>
      <rPr>
        <sz val="14"/>
        <color theme="1"/>
        <rFont val="微軟正黑體"/>
        <family val="2"/>
        <charset val="136"/>
      </rPr>
      <t>張琇婷</t>
    </r>
  </si>
  <si>
    <r>
      <t>ESG</t>
    </r>
    <r>
      <rPr>
        <sz val="14"/>
        <color theme="1"/>
        <rFont val="微軟正黑體"/>
        <family val="2"/>
        <charset val="136"/>
      </rPr>
      <t>評級是否影響企業借款利率</t>
    </r>
    <phoneticPr fontId="1" type="noConversion"/>
  </si>
  <si>
    <r>
      <rPr>
        <sz val="14"/>
        <color theme="1"/>
        <rFont val="微軟正黑體"/>
        <family val="2"/>
        <charset val="136"/>
      </rPr>
      <t>電子產業企業社會責任報告之環境績效指標</t>
    </r>
    <r>
      <rPr>
        <sz val="14"/>
        <color theme="1"/>
        <rFont val="Times New Roman"/>
        <family val="1"/>
      </rPr>
      <t>-</t>
    </r>
    <r>
      <rPr>
        <sz val="14"/>
        <color theme="1"/>
        <rFont val="微軟正黑體"/>
        <family val="2"/>
        <charset val="136"/>
      </rPr>
      <t>以台達電為例</t>
    </r>
    <phoneticPr fontId="1" type="noConversion"/>
  </si>
  <si>
    <r>
      <rPr>
        <sz val="14"/>
        <color theme="1"/>
        <rFont val="微軟正黑體"/>
        <family val="2"/>
        <charset val="136"/>
      </rPr>
      <t>魏中瑄</t>
    </r>
    <phoneticPr fontId="1" type="noConversion"/>
  </si>
  <si>
    <r>
      <rPr>
        <sz val="14"/>
        <color theme="1"/>
        <rFont val="微軟正黑體"/>
        <family val="2"/>
        <charset val="136"/>
      </rPr>
      <t>何珮慈</t>
    </r>
  </si>
  <si>
    <r>
      <rPr>
        <b/>
        <sz val="14"/>
        <color theme="1"/>
        <rFont val="微軟正黑體"/>
        <family val="2"/>
        <charset val="136"/>
      </rPr>
      <t>題目</t>
    </r>
    <phoneticPr fontId="1" type="noConversion"/>
  </si>
  <si>
    <r>
      <rPr>
        <b/>
        <sz val="14"/>
        <color theme="1"/>
        <rFont val="微軟正黑體"/>
        <family val="2"/>
        <charset val="136"/>
      </rPr>
      <t>指導
老師</t>
    </r>
    <phoneticPr fontId="1" type="noConversion"/>
  </si>
  <si>
    <r>
      <rPr>
        <b/>
        <sz val="14"/>
        <color theme="1"/>
        <rFont val="微軟正黑體"/>
        <family val="2"/>
        <charset val="136"/>
      </rPr>
      <t>姓名</t>
    </r>
  </si>
  <si>
    <r>
      <rPr>
        <b/>
        <sz val="14"/>
        <color theme="1"/>
        <rFont val="微軟正黑體"/>
        <family val="2"/>
        <charset val="136"/>
      </rPr>
      <t>班級</t>
    </r>
  </si>
  <si>
    <r>
      <rPr>
        <b/>
        <sz val="14"/>
        <color theme="1"/>
        <rFont val="微軟正黑體"/>
        <family val="2"/>
        <charset val="136"/>
      </rPr>
      <t>組</t>
    </r>
    <phoneticPr fontId="1" type="noConversion"/>
  </si>
  <si>
    <r>
      <rPr>
        <b/>
        <sz val="14"/>
        <color theme="1"/>
        <rFont val="微軟正黑體"/>
        <family val="2"/>
        <charset val="136"/>
      </rPr>
      <t>組</t>
    </r>
    <phoneticPr fontId="1" type="noConversion"/>
  </si>
  <si>
    <r>
      <rPr>
        <b/>
        <sz val="14"/>
        <color theme="1"/>
        <rFont val="微軟正黑體"/>
        <family val="2"/>
        <charset val="136"/>
      </rPr>
      <t>題目</t>
    </r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</si>
  <si>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口試委員：陳庭萱、謝富順</t>
    </r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</si>
  <si>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口試委員：魏中瑄、李家豪</t>
    </r>
    <phoneticPr fontId="1" type="noConversion"/>
  </si>
  <si>
    <r>
      <rPr>
        <b/>
        <sz val="14"/>
        <color theme="1"/>
        <rFont val="微軟正黑體"/>
        <family val="2"/>
        <charset val="136"/>
      </rPr>
      <t>口試委員：李振宇、戴錦周</t>
    </r>
    <phoneticPr fontId="1" type="noConversion"/>
  </si>
  <si>
    <r>
      <rPr>
        <sz val="14"/>
        <color theme="1"/>
        <rFont val="微軟正黑體"/>
        <family val="2"/>
        <charset val="136"/>
      </rPr>
      <t>葉志權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</si>
  <si>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李瑞琳</t>
    </r>
    <phoneticPr fontId="1" type="noConversion"/>
  </si>
  <si>
    <r>
      <rPr>
        <sz val="14"/>
        <color theme="1"/>
        <rFont val="微軟正黑體"/>
        <family val="2"/>
        <charset val="136"/>
      </rPr>
      <t>李瑞琳</t>
    </r>
    <phoneticPr fontId="1" type="noConversion"/>
  </si>
  <si>
    <r>
      <rPr>
        <sz val="14"/>
        <color theme="1"/>
        <rFont val="微軟正黑體"/>
        <family val="2"/>
        <charset val="136"/>
      </rPr>
      <t>魏中瑄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</si>
  <si>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魏中瑄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</si>
  <si>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黃瑞渝</t>
    </r>
  </si>
  <si>
    <r>
      <rPr>
        <sz val="14"/>
        <color theme="1"/>
        <rFont val="微軟正黑體"/>
        <family val="2"/>
        <charset val="136"/>
      </rPr>
      <t>王羿婷</t>
    </r>
  </si>
  <si>
    <r>
      <rPr>
        <sz val="14"/>
        <color theme="1"/>
        <rFont val="微軟正黑體"/>
        <family val="2"/>
        <charset val="136"/>
      </rPr>
      <t>鄧淨文</t>
    </r>
  </si>
  <si>
    <r>
      <rPr>
        <sz val="14"/>
        <color theme="1"/>
        <rFont val="微軟正黑體"/>
        <family val="2"/>
        <charset val="136"/>
      </rPr>
      <t>經濟政策不確定性對銀行流動性創造影響</t>
    </r>
    <phoneticPr fontId="1" type="noConversion"/>
  </si>
  <si>
    <r>
      <rPr>
        <sz val="14"/>
        <color theme="1"/>
        <rFont val="微軟正黑體"/>
        <family val="2"/>
        <charset val="136"/>
      </rPr>
      <t>李瑞琳</t>
    </r>
    <phoneticPr fontId="1" type="noConversion"/>
  </si>
  <si>
    <r>
      <t>Covid-19</t>
    </r>
    <r>
      <rPr>
        <sz val="14"/>
        <color theme="1"/>
        <rFont val="微軟正黑體"/>
        <family val="2"/>
        <charset val="136"/>
      </rPr>
      <t>背景下的股票報酬與油價間的關係</t>
    </r>
    <phoneticPr fontId="1" type="noConversion"/>
  </si>
  <si>
    <r>
      <rPr>
        <sz val="14"/>
        <color theme="1"/>
        <rFont val="微軟正黑體"/>
        <family val="2"/>
        <charset val="136"/>
      </rPr>
      <t>葉志權</t>
    </r>
    <phoneticPr fontId="1" type="noConversion"/>
  </si>
  <si>
    <r>
      <rPr>
        <sz val="14"/>
        <color theme="1"/>
        <rFont val="微軟正黑體"/>
        <family val="2"/>
        <charset val="136"/>
      </rPr>
      <t>零售業數位轉型之研究</t>
    </r>
    <r>
      <rPr>
        <sz val="14"/>
        <color theme="1"/>
        <rFont val="Times New Roman"/>
        <family val="1"/>
      </rPr>
      <t>-</t>
    </r>
    <r>
      <rPr>
        <sz val="14"/>
        <color theme="1"/>
        <rFont val="微軟正黑體"/>
        <family val="2"/>
        <charset val="136"/>
      </rPr>
      <t>以全聯福利中心為例</t>
    </r>
    <phoneticPr fontId="1" type="noConversion"/>
  </si>
  <si>
    <r>
      <rPr>
        <sz val="14"/>
        <color theme="1"/>
        <rFont val="微軟正黑體"/>
        <family val="2"/>
        <charset val="136"/>
      </rPr>
      <t>魏中瑄</t>
    </r>
    <phoneticPr fontId="1" type="noConversion"/>
  </si>
  <si>
    <r>
      <rPr>
        <sz val="14"/>
        <color theme="1"/>
        <rFont val="微軟正黑體"/>
        <family val="2"/>
        <charset val="136"/>
      </rPr>
      <t>江孟潔</t>
    </r>
  </si>
  <si>
    <r>
      <rPr>
        <sz val="14"/>
        <color theme="1"/>
        <rFont val="微軟正黑體"/>
        <family val="2"/>
        <charset val="136"/>
      </rPr>
      <t>黃幼琳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</si>
  <si>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陳庭萱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</si>
  <si>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陳庭萱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</si>
  <si>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陳建宏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</si>
  <si>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陳庭萱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</si>
  <si>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陳建宏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</si>
  <si>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影響台灣銀行業利差因素之分析</t>
    </r>
    <phoneticPr fontId="1" type="noConversion"/>
  </si>
  <si>
    <r>
      <rPr>
        <sz val="14"/>
        <color theme="1"/>
        <rFont val="微軟正黑體"/>
        <family val="2"/>
        <charset val="136"/>
      </rPr>
      <t>陳建宏
戴錦周</t>
    </r>
    <phoneticPr fontId="1" type="noConversion"/>
  </si>
  <si>
    <r>
      <rPr>
        <sz val="14"/>
        <color theme="1"/>
        <rFont val="微軟正黑體"/>
        <family val="2"/>
        <charset val="136"/>
      </rPr>
      <t>資本結構與現金減資決策</t>
    </r>
    <phoneticPr fontId="1" type="noConversion"/>
  </si>
  <si>
    <r>
      <t>Fintech</t>
    </r>
    <r>
      <rPr>
        <sz val="14"/>
        <color theme="1"/>
        <rFont val="微軟正黑體"/>
        <family val="2"/>
        <charset val="136"/>
      </rPr>
      <t>對於銀行放款利率的影響</t>
    </r>
    <phoneticPr fontId="1" type="noConversion"/>
  </si>
  <si>
    <r>
      <rPr>
        <sz val="14"/>
        <color theme="1"/>
        <rFont val="微軟正黑體"/>
        <family val="2"/>
        <charset val="136"/>
      </rPr>
      <t>陳庭萱</t>
    </r>
    <phoneticPr fontId="1" type="noConversion"/>
  </si>
  <si>
    <r>
      <rPr>
        <sz val="14"/>
        <color theme="1"/>
        <rFont val="微軟正黑體"/>
        <family val="2"/>
        <charset val="136"/>
      </rPr>
      <t>李靜芠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</si>
  <si>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許勝祁</t>
    </r>
    <phoneticPr fontId="1" type="noConversion"/>
  </si>
  <si>
    <r>
      <rPr>
        <sz val="14"/>
        <color theme="1"/>
        <rFont val="微軟正黑體"/>
        <family val="2"/>
        <charset val="136"/>
      </rPr>
      <t>邱臙珍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</si>
  <si>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李靜芠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</si>
  <si>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微軟正黑體"/>
        <family val="2"/>
        <charset val="136"/>
      </rPr>
      <t>江思淇</t>
    </r>
  </si>
  <si>
    <r>
      <rPr>
        <sz val="14"/>
        <color theme="1"/>
        <rFont val="微軟正黑體"/>
        <family val="2"/>
        <charset val="136"/>
      </rPr>
      <t>余佳錚</t>
    </r>
  </si>
  <si>
    <r>
      <rPr>
        <sz val="14"/>
        <color theme="1"/>
        <rFont val="微軟正黑體"/>
        <family val="2"/>
        <charset val="136"/>
      </rPr>
      <t>邱臙珍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</si>
  <si>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微軟正黑體"/>
        <family val="2"/>
        <charset val="136"/>
      </rPr>
      <t>林芳宇</t>
    </r>
  </si>
  <si>
    <r>
      <rPr>
        <sz val="14"/>
        <color theme="1"/>
        <rFont val="微軟正黑體"/>
        <family val="2"/>
        <charset val="136"/>
      </rPr>
      <t>謝有雅</t>
    </r>
  </si>
  <si>
    <r>
      <rPr>
        <sz val="14"/>
        <color theme="1"/>
        <rFont val="微軟正黑體"/>
        <family val="2"/>
        <charset val="136"/>
      </rPr>
      <t>邱雅君</t>
    </r>
  </si>
  <si>
    <r>
      <rPr>
        <sz val="14"/>
        <color theme="1"/>
        <rFont val="微軟正黑體"/>
        <family val="2"/>
        <charset val="136"/>
      </rPr>
      <t>創新與業務多元化對銀行獲利之影響</t>
    </r>
    <phoneticPr fontId="1" type="noConversion"/>
  </si>
  <si>
    <r>
      <rPr>
        <sz val="14"/>
        <color theme="1"/>
        <rFont val="微軟正黑體"/>
        <family val="2"/>
        <charset val="136"/>
      </rPr>
      <t>李靜芠</t>
    </r>
    <phoneticPr fontId="1" type="noConversion"/>
  </si>
  <si>
    <r>
      <rPr>
        <sz val="14"/>
        <color theme="1"/>
        <rFont val="微軟正黑體"/>
        <family val="2"/>
        <charset val="136"/>
      </rPr>
      <t>蔡咏頤</t>
    </r>
  </si>
  <si>
    <r>
      <rPr>
        <sz val="14"/>
        <color theme="1"/>
        <rFont val="微軟正黑體"/>
        <family val="2"/>
        <charset val="136"/>
      </rPr>
      <t>併購公司經理人過度自信與公司治理對經營績效之影響</t>
    </r>
    <phoneticPr fontId="1" type="noConversion"/>
  </si>
  <si>
    <r>
      <rPr>
        <sz val="14"/>
        <color theme="1"/>
        <rFont val="微軟正黑體"/>
        <family val="2"/>
        <charset val="136"/>
      </rPr>
      <t>邱臙珍</t>
    </r>
    <phoneticPr fontId="1" type="noConversion"/>
  </si>
  <si>
    <r>
      <rPr>
        <sz val="14"/>
        <color theme="1"/>
        <rFont val="微軟正黑體"/>
        <family val="2"/>
        <charset val="136"/>
      </rPr>
      <t>金融科技對純網銀與非純網銀獲利之影響</t>
    </r>
    <phoneticPr fontId="1" type="noConversion"/>
  </si>
  <si>
    <r>
      <rPr>
        <sz val="14"/>
        <color theme="1"/>
        <rFont val="微軟正黑體"/>
        <family val="2"/>
        <charset val="136"/>
      </rPr>
      <t>林宛筠</t>
    </r>
  </si>
  <si>
    <r>
      <rPr>
        <b/>
        <sz val="14"/>
        <color theme="1"/>
        <rFont val="微軟正黑體"/>
        <family val="2"/>
        <charset val="136"/>
      </rPr>
      <t>指導
老師</t>
    </r>
    <phoneticPr fontId="1" type="noConversion"/>
  </si>
  <si>
    <t>16:30~16:50</t>
  </si>
  <si>
    <t>16:10~16:30</t>
  </si>
  <si>
    <t>15:50~16:10</t>
  </si>
  <si>
    <t>15:30~15:50</t>
  </si>
  <si>
    <t>財金四1</t>
  </si>
  <si>
    <t xml:space="preserve">創新與業務多元化對銀行獲利之影響
</t>
    <phoneticPr fontId="1" type="noConversion"/>
  </si>
  <si>
    <t xml:space="preserve">金融科技對純網銀與非純網銀獲利之影響
</t>
    <phoneticPr fontId="1" type="noConversion"/>
  </si>
  <si>
    <t xml:space="preserve">專利訴訟是否會影響公司的併購能力及未來公司創新能力
</t>
    <phoneticPr fontId="1" type="noConversion"/>
  </si>
  <si>
    <t xml:space="preserve">零售業數位轉型之研究-以全聯福利中心為例
</t>
    <phoneticPr fontId="1" type="noConversion"/>
  </si>
  <si>
    <t xml:space="preserve">電子產業企業社會責任報告之環境績效指標-以台達電為例
</t>
    <phoneticPr fontId="1" type="noConversion"/>
  </si>
  <si>
    <t xml:space="preserve">以資料包絡分析法探討臺灣金融業ESG 與經營績效之關係
</t>
    <phoneticPr fontId="1" type="noConversion"/>
  </si>
  <si>
    <t>李靜芠</t>
    <phoneticPr fontId="1" type="noConversion"/>
  </si>
  <si>
    <t>周佩儀</t>
    <phoneticPr fontId="1" type="noConversion"/>
  </si>
  <si>
    <t>周佩儀</t>
    <phoneticPr fontId="1" type="noConversion"/>
  </si>
  <si>
    <t>徐鼎欣</t>
    <phoneticPr fontId="1" type="noConversion"/>
  </si>
  <si>
    <t>黃心怡</t>
    <phoneticPr fontId="1" type="noConversion"/>
  </si>
  <si>
    <t>黃幼琳</t>
    <phoneticPr fontId="1" type="noConversion"/>
  </si>
  <si>
    <t>魏中瑄</t>
    <phoneticPr fontId="1" type="noConversion"/>
  </si>
  <si>
    <t>魏中瑄</t>
    <phoneticPr fontId="1" type="noConversion"/>
  </si>
  <si>
    <t>陳建宏
戴錦周</t>
    <phoneticPr fontId="1" type="noConversion"/>
  </si>
  <si>
    <t>邱臙珍</t>
    <phoneticPr fontId="1" type="noConversion"/>
  </si>
  <si>
    <t>陳庭萱</t>
    <phoneticPr fontId="1" type="noConversion"/>
  </si>
  <si>
    <t>葉志權</t>
    <phoneticPr fontId="1" type="noConversion"/>
  </si>
  <si>
    <t>葉志權</t>
    <phoneticPr fontId="1" type="noConversion"/>
  </si>
  <si>
    <t>陳建宏
戴錦周</t>
    <phoneticPr fontId="1" type="noConversion"/>
  </si>
  <si>
    <t xml:space="preserve">序 </t>
    <phoneticPr fontId="1" type="noConversion"/>
  </si>
  <si>
    <t>口試委員</t>
    <phoneticPr fontId="1" type="noConversion"/>
  </si>
  <si>
    <t>組別1</t>
  </si>
  <si>
    <t>組別4</t>
  </si>
  <si>
    <t>組別7</t>
  </si>
  <si>
    <t>組別10</t>
  </si>
  <si>
    <t>組別14</t>
  </si>
  <si>
    <t>組別18</t>
  </si>
  <si>
    <t>組別2</t>
  </si>
  <si>
    <t>組別5</t>
  </si>
  <si>
    <t>組別8</t>
  </si>
  <si>
    <t>組別11</t>
  </si>
  <si>
    <t>組別15</t>
  </si>
  <si>
    <t>組別19</t>
  </si>
  <si>
    <t>組別3</t>
  </si>
  <si>
    <t>組別6</t>
  </si>
  <si>
    <t>組別9</t>
  </si>
  <si>
    <t>組別12</t>
  </si>
  <si>
    <t>組別16</t>
  </si>
  <si>
    <t>組別20</t>
  </si>
  <si>
    <t>組別13</t>
  </si>
  <si>
    <t>組別17</t>
  </si>
  <si>
    <t>組別21</t>
  </si>
  <si>
    <t>李振宇
戴錦周</t>
    <phoneticPr fontId="1" type="noConversion"/>
  </si>
  <si>
    <t>陳庭萱
謝富順</t>
    <phoneticPr fontId="1" type="noConversion"/>
  </si>
  <si>
    <t>黃心怡
李靜芠
周佩儀</t>
    <phoneticPr fontId="1" type="noConversion"/>
  </si>
  <si>
    <t>黃幼琳
邱臙珍
陳秀桂</t>
    <phoneticPr fontId="1" type="noConversion"/>
  </si>
  <si>
    <t>葉志權
徐鼎欣
許義忠</t>
    <phoneticPr fontId="1" type="noConversion"/>
  </si>
  <si>
    <t>每組20分鐘
含委員提問</t>
    <phoneticPr fontId="1" type="noConversion"/>
  </si>
  <si>
    <t>場地1
H601</t>
    <phoneticPr fontId="1" type="noConversion"/>
  </si>
  <si>
    <t>場地2
H614</t>
    <phoneticPr fontId="1" type="noConversion"/>
  </si>
  <si>
    <t>場地3
H615</t>
    <phoneticPr fontId="1" type="noConversion"/>
  </si>
  <si>
    <t>場地4
H714</t>
    <phoneticPr fontId="1" type="noConversion"/>
  </si>
  <si>
    <t>場地5
H715</t>
    <phoneticPr fontId="1" type="noConversion"/>
  </si>
  <si>
    <t>場地6
H716</t>
    <phoneticPr fontId="1" type="noConversion"/>
  </si>
  <si>
    <t>16:50~17:10</t>
    <phoneticPr fontId="1" type="noConversion"/>
  </si>
  <si>
    <t>李振宇</t>
  </si>
  <si>
    <t>戴錦周</t>
  </si>
  <si>
    <t>魏中瑄</t>
  </si>
  <si>
    <t>李家豪</t>
  </si>
  <si>
    <t>陳庭萱</t>
  </si>
  <si>
    <t>謝富順</t>
  </si>
  <si>
    <t>黃心怡</t>
  </si>
  <si>
    <t>李靜芠</t>
  </si>
  <si>
    <t>周佩儀</t>
  </si>
  <si>
    <t>黃幼琳</t>
  </si>
  <si>
    <t>邱臙珍</t>
  </si>
  <si>
    <t>陳秀桂</t>
  </si>
  <si>
    <t>葉志權</t>
  </si>
  <si>
    <t>徐鼎欣</t>
  </si>
  <si>
    <t>專題架構與完整性30%</t>
  </si>
  <si>
    <t>理論與實務價值30%</t>
  </si>
  <si>
    <t>專題創意性20%</t>
  </si>
  <si>
    <t>表達能力20%</t>
  </si>
  <si>
    <t>併購公司經理人過度自信與公司治理對經營績效之影響</t>
    <phoneticPr fontId="1" type="noConversion"/>
  </si>
  <si>
    <t>黃幼琳</t>
    <phoneticPr fontId="1" type="noConversion"/>
  </si>
  <si>
    <t>李靜芠</t>
    <phoneticPr fontId="1" type="noConversion"/>
  </si>
  <si>
    <t>創新與業務多元化對銀行獲利之影響</t>
    <phoneticPr fontId="1" type="noConversion"/>
  </si>
  <si>
    <t>周佩儀</t>
    <phoneticPr fontId="1" type="noConversion"/>
  </si>
  <si>
    <t>以資料包絡分析法探討臺灣金融業ESG與經營績效之關係</t>
    <phoneticPr fontId="1" type="noConversion"/>
  </si>
  <si>
    <t>組</t>
    <phoneticPr fontId="1" type="noConversion"/>
  </si>
  <si>
    <t>指導
老師</t>
    <phoneticPr fontId="1" type="noConversion"/>
  </si>
  <si>
    <t>題目</t>
    <phoneticPr fontId="1" type="noConversion"/>
  </si>
  <si>
    <t>總分100</t>
    <phoneticPr fontId="1" type="noConversion"/>
  </si>
  <si>
    <t>李靜芠</t>
    <phoneticPr fontId="1" type="noConversion"/>
  </si>
  <si>
    <t>金融科技對純網銀與非純網銀獲利之影響</t>
    <phoneticPr fontId="1" type="noConversion"/>
  </si>
  <si>
    <t>陳庭萱</t>
    <phoneticPr fontId="1" type="noConversion"/>
  </si>
  <si>
    <t>Fintech對於銀行放款利率的影響</t>
    <phoneticPr fontId="1" type="noConversion"/>
  </si>
  <si>
    <t>魏中瑄</t>
    <phoneticPr fontId="1" type="noConversion"/>
  </si>
  <si>
    <t>零售業數位轉型之研究-以全聯福利中心為例</t>
    <phoneticPr fontId="1" type="noConversion"/>
  </si>
  <si>
    <t>邱臙珍</t>
    <phoneticPr fontId="1" type="noConversion"/>
  </si>
  <si>
    <t>資本結構與現金減資決策</t>
    <phoneticPr fontId="1" type="noConversion"/>
  </si>
  <si>
    <t>葉志權</t>
    <phoneticPr fontId="1" type="noConversion"/>
  </si>
  <si>
    <t>Covid-19背景下的股票報酬與油價間的關係</t>
    <phoneticPr fontId="1" type="noConversion"/>
  </si>
  <si>
    <t>陳建宏
戴錦周</t>
    <phoneticPr fontId="1" type="noConversion"/>
  </si>
  <si>
    <t>影響台灣銀行業利差因素之分析</t>
    <phoneticPr fontId="1" type="noConversion"/>
  </si>
  <si>
    <t>李瑞琳</t>
    <phoneticPr fontId="1" type="noConversion"/>
  </si>
  <si>
    <t>經濟政策不確定性對銀行流動性創造影響</t>
    <phoneticPr fontId="1" type="noConversion"/>
  </si>
  <si>
    <t>魏中瑄</t>
    <phoneticPr fontId="1" type="noConversion"/>
  </si>
  <si>
    <t>電子產業企業社會責任報告之環境績效指標-以台達電為例</t>
    <phoneticPr fontId="1" type="noConversion"/>
  </si>
  <si>
    <t>黃幼琳</t>
    <phoneticPr fontId="1" type="noConversion"/>
  </si>
  <si>
    <t>企業社會責任對企業營運之影響</t>
    <phoneticPr fontId="1" type="noConversion"/>
  </si>
  <si>
    <t>邱臙珍</t>
    <phoneticPr fontId="1" type="noConversion"/>
  </si>
  <si>
    <t>我國綠色債券市場發展探析</t>
    <phoneticPr fontId="1" type="noConversion"/>
  </si>
  <si>
    <t>陳建宏
戴錦周</t>
    <phoneticPr fontId="1" type="noConversion"/>
  </si>
  <si>
    <t>企業發行綠色債券對股價之影響</t>
    <phoneticPr fontId="1" type="noConversion"/>
  </si>
  <si>
    <t>許義忠</t>
    <phoneticPr fontId="1" type="noConversion"/>
  </si>
  <si>
    <t>ESG評級是否影響企業借款利率</t>
    <phoneticPr fontId="1" type="noConversion"/>
  </si>
  <si>
    <t>徐鼎欣</t>
    <phoneticPr fontId="1" type="noConversion"/>
  </si>
  <si>
    <t>ESG趨勢發展及利弊之個案分析</t>
    <phoneticPr fontId="1" type="noConversion"/>
  </si>
  <si>
    <t>周佩儀</t>
    <phoneticPr fontId="1" type="noConversion"/>
  </si>
  <si>
    <t>葉志權</t>
    <phoneticPr fontId="1" type="noConversion"/>
  </si>
  <si>
    <t>實證探討減碳與研究發展對經營績效的調節效果</t>
    <phoneticPr fontId="1" type="noConversion"/>
  </si>
  <si>
    <t>行動支付與消費者心理帳戶之關聯</t>
    <phoneticPr fontId="1" type="noConversion"/>
  </si>
  <si>
    <t>黃心怡</t>
    <phoneticPr fontId="1" type="noConversion"/>
  </si>
  <si>
    <t>專利訴訟是否會影響公司的併購能力及未來公司創新能力</t>
    <phoneticPr fontId="1" type="noConversion"/>
  </si>
  <si>
    <t>黃心怡</t>
    <phoneticPr fontId="1" type="noConversion"/>
  </si>
  <si>
    <t>探討電商公司併購行為之效益</t>
    <phoneticPr fontId="1" type="noConversion"/>
  </si>
  <si>
    <t>黃幼琳</t>
    <phoneticPr fontId="1" type="noConversion"/>
  </si>
  <si>
    <t>女性董事與企業薪資平等之探討</t>
    <phoneticPr fontId="1" type="noConversion"/>
  </si>
  <si>
    <t>評分
委員</t>
    <phoneticPr fontId="1" type="noConversion"/>
  </si>
  <si>
    <t>初賽總分</t>
    <phoneticPr fontId="1" type="noConversion"/>
  </si>
  <si>
    <t>魏中瑄
李家豪</t>
    <phoneticPr fontId="1" type="noConversion"/>
  </si>
  <si>
    <t>111學年度財金專題成果發表競賽-分組/時間/場地</t>
    <phoneticPr fontId="1" type="noConversion"/>
  </si>
  <si>
    <t>Q&amp;A、口試委員修正建議確認</t>
    <phoneticPr fontId="1" type="noConversion"/>
  </si>
  <si>
    <t>Q&amp;A、口試委員修正建議確認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</si>
</sst>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51452C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26"/>
      <name val="微軟正黑體"/>
      <family val="2"/>
      <charset val="136"/>
    </font>
    <font>
      <sz val="20"/>
      <name val="微軟正黑體"/>
      <family val="2"/>
      <charset val="136"/>
    </font>
    <font>
      <sz val="20"/>
      <color rgb="FF0000FF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2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6" fillId="3" borderId="1" xfId="2" applyFont="1" applyFill="1" applyBorder="1">
      <alignment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4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1" xfId="0" applyNumberFormat="1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110" zoomScaleNormal="110" workbookViewId="0">
      <selection activeCell="E16" sqref="E16"/>
    </sheetView>
  </sheetViews>
  <sheetFormatPr defaultRowHeight="18" x14ac:dyDescent="0.3"/>
  <cols>
    <col min="1" max="1" width="12.109375" style="1" bestFit="1" customWidth="1"/>
    <col min="2" max="2" width="16.77734375" style="1" bestFit="1" customWidth="1"/>
    <col min="3" max="3" width="10" style="16" customWidth="1"/>
    <col min="4" max="4" width="13" style="16" bestFit="1" customWidth="1"/>
    <col min="5" max="5" width="11.5546875" style="8" bestFit="1" customWidth="1"/>
    <col min="6" max="6" width="12.109375" style="1" bestFit="1" customWidth="1"/>
    <col min="7" max="7" width="16.77734375" style="1" bestFit="1" customWidth="1"/>
    <col min="8" max="8" width="10" style="16" bestFit="1" customWidth="1"/>
    <col min="9" max="9" width="13" style="16" bestFit="1" customWidth="1"/>
    <col min="10" max="16384" width="8.88671875" style="1"/>
  </cols>
  <sheetData>
    <row r="1" spans="1:13" x14ac:dyDescent="0.3">
      <c r="A1" s="2" t="s">
        <v>0</v>
      </c>
      <c r="B1" s="3" t="s">
        <v>1</v>
      </c>
      <c r="C1" s="2" t="s">
        <v>2</v>
      </c>
      <c r="D1" s="4" t="s">
        <v>3</v>
      </c>
      <c r="E1" s="4" t="s">
        <v>137</v>
      </c>
      <c r="F1" s="2" t="s">
        <v>0</v>
      </c>
      <c r="G1" s="3" t="s">
        <v>1</v>
      </c>
      <c r="H1" s="2" t="s">
        <v>2</v>
      </c>
      <c r="I1" s="4" t="s">
        <v>3</v>
      </c>
    </row>
    <row r="2" spans="1:13" x14ac:dyDescent="0.3">
      <c r="A2" s="5" t="s">
        <v>13</v>
      </c>
      <c r="B2" s="5" t="s">
        <v>14</v>
      </c>
      <c r="C2" s="12" t="s">
        <v>15</v>
      </c>
      <c r="D2" s="11" t="s">
        <v>128</v>
      </c>
      <c r="E2" s="17">
        <v>44537</v>
      </c>
      <c r="F2" s="5" t="str">
        <f t="shared" ref="F2:F49" si="0">"財金三２"</f>
        <v>財金三２</v>
      </c>
      <c r="G2" s="5" t="str">
        <f>"1410806047"</f>
        <v>1410806047</v>
      </c>
      <c r="H2" s="12" t="str">
        <f>"林思均"</f>
        <v>林思均</v>
      </c>
      <c r="I2" s="11" t="s">
        <v>113</v>
      </c>
    </row>
    <row r="3" spans="1:13" x14ac:dyDescent="0.3">
      <c r="A3" s="5" t="s">
        <v>13</v>
      </c>
      <c r="B3" s="5" t="s">
        <v>84</v>
      </c>
      <c r="C3" s="12" t="s">
        <v>85</v>
      </c>
      <c r="D3" s="6"/>
      <c r="E3" s="7"/>
      <c r="F3" s="5" t="str">
        <f t="shared" si="0"/>
        <v>財金三２</v>
      </c>
      <c r="G3" s="5" t="str">
        <f>"1410806048"</f>
        <v>1410806048</v>
      </c>
      <c r="H3" s="12" t="str">
        <f>"許晏禎"</f>
        <v>許晏禎</v>
      </c>
      <c r="I3" s="11" t="s">
        <v>130</v>
      </c>
    </row>
    <row r="4" spans="1:13" x14ac:dyDescent="0.3">
      <c r="A4" s="5" t="s">
        <v>13</v>
      </c>
      <c r="B4" s="5" t="s">
        <v>16</v>
      </c>
      <c r="C4" s="12" t="s">
        <v>17</v>
      </c>
      <c r="D4" s="11" t="s">
        <v>127</v>
      </c>
      <c r="E4" s="7"/>
      <c r="F4" s="5" t="str">
        <f t="shared" si="0"/>
        <v>財金三２</v>
      </c>
      <c r="G4" s="5" t="str">
        <f>"1410806049"</f>
        <v>1410806049</v>
      </c>
      <c r="H4" s="12" t="str">
        <f>"賴宣涵"</f>
        <v>賴宣涵</v>
      </c>
      <c r="I4" s="11" t="s">
        <v>130</v>
      </c>
      <c r="K4" s="7"/>
      <c r="L4" s="7"/>
      <c r="M4" s="7"/>
    </row>
    <row r="5" spans="1:13" x14ac:dyDescent="0.3">
      <c r="A5" s="5" t="s">
        <v>13</v>
      </c>
      <c r="B5" s="5" t="s">
        <v>18</v>
      </c>
      <c r="C5" s="12" t="s">
        <v>19</v>
      </c>
      <c r="D5" s="11" t="s">
        <v>121</v>
      </c>
      <c r="E5" s="7"/>
      <c r="F5" s="5" t="str">
        <f t="shared" si="0"/>
        <v>財金三２</v>
      </c>
      <c r="G5" s="5" t="str">
        <f>"1410806050"</f>
        <v>1410806050</v>
      </c>
      <c r="H5" s="12" t="str">
        <f>"石旻昕"</f>
        <v>石旻昕</v>
      </c>
      <c r="I5" s="11" t="s">
        <v>124</v>
      </c>
      <c r="K5" s="7"/>
      <c r="L5" s="7"/>
      <c r="M5" s="7"/>
    </row>
    <row r="6" spans="1:13" x14ac:dyDescent="0.3">
      <c r="A6" s="5" t="s">
        <v>13</v>
      </c>
      <c r="B6" s="5" t="s">
        <v>20</v>
      </c>
      <c r="C6" s="12" t="s">
        <v>21</v>
      </c>
      <c r="D6" s="11" t="s">
        <v>127</v>
      </c>
      <c r="E6" s="7"/>
      <c r="F6" s="5" t="str">
        <f t="shared" si="0"/>
        <v>財金三２</v>
      </c>
      <c r="G6" s="5" t="str">
        <f>"1410806051"</f>
        <v>1410806051</v>
      </c>
      <c r="H6" s="12" t="str">
        <f>"吳盈萱"</f>
        <v>吳盈萱</v>
      </c>
      <c r="I6" s="11" t="s">
        <v>113</v>
      </c>
      <c r="K6" s="8"/>
      <c r="L6" s="7"/>
      <c r="M6" s="7"/>
    </row>
    <row r="7" spans="1:13" x14ac:dyDescent="0.3">
      <c r="A7" s="5" t="s">
        <v>13</v>
      </c>
      <c r="B7" s="5" t="s">
        <v>22</v>
      </c>
      <c r="C7" s="12" t="s">
        <v>23</v>
      </c>
      <c r="D7" s="11" t="s">
        <v>122</v>
      </c>
      <c r="E7" s="7"/>
      <c r="F7" s="5" t="str">
        <f t="shared" si="0"/>
        <v>財金三２</v>
      </c>
      <c r="G7" s="5" t="str">
        <f>"1410806052"</f>
        <v>1410806052</v>
      </c>
      <c r="H7" s="12" t="str">
        <f>"宋雁荻"</f>
        <v>宋雁荻</v>
      </c>
      <c r="I7" s="11" t="s">
        <v>120</v>
      </c>
      <c r="K7" s="8"/>
      <c r="L7" s="8"/>
      <c r="M7" s="7"/>
    </row>
    <row r="8" spans="1:13" x14ac:dyDescent="0.3">
      <c r="A8" s="5" t="s">
        <v>13</v>
      </c>
      <c r="B8" s="5" t="s">
        <v>24</v>
      </c>
      <c r="C8" s="12" t="s">
        <v>25</v>
      </c>
      <c r="D8" s="11" t="s">
        <v>117</v>
      </c>
      <c r="E8" s="7"/>
      <c r="F8" s="5" t="str">
        <f t="shared" si="0"/>
        <v>財金三２</v>
      </c>
      <c r="G8" s="5" t="str">
        <f>"1410806053"</f>
        <v>1410806053</v>
      </c>
      <c r="H8" s="12" t="str">
        <f>"李昀珊"</f>
        <v>李昀珊</v>
      </c>
      <c r="I8" s="11" t="s">
        <v>131</v>
      </c>
      <c r="K8" s="8"/>
      <c r="L8" s="8"/>
      <c r="M8" s="8"/>
    </row>
    <row r="9" spans="1:13" x14ac:dyDescent="0.3">
      <c r="A9" s="5" t="s">
        <v>13</v>
      </c>
      <c r="B9" s="5" t="s">
        <v>26</v>
      </c>
      <c r="C9" s="12" t="s">
        <v>27</v>
      </c>
      <c r="D9" s="11" t="s">
        <v>121</v>
      </c>
      <c r="E9" s="7"/>
      <c r="F9" s="5" t="str">
        <f t="shared" si="0"/>
        <v>財金三２</v>
      </c>
      <c r="G9" s="5" t="str">
        <f>"1410806054"</f>
        <v>1410806054</v>
      </c>
      <c r="H9" s="12" t="str">
        <f>"林怡妘"</f>
        <v>林怡妘</v>
      </c>
      <c r="I9" s="11" t="s">
        <v>113</v>
      </c>
      <c r="K9" s="7"/>
      <c r="L9" s="7"/>
      <c r="M9" s="7"/>
    </row>
    <row r="10" spans="1:13" x14ac:dyDescent="0.3">
      <c r="A10" s="5" t="s">
        <v>13</v>
      </c>
      <c r="B10" s="5" t="s">
        <v>28</v>
      </c>
      <c r="C10" s="12" t="s">
        <v>29</v>
      </c>
      <c r="D10" s="11" t="s">
        <v>129</v>
      </c>
      <c r="E10" s="7"/>
      <c r="F10" s="5" t="str">
        <f t="shared" si="0"/>
        <v>財金三２</v>
      </c>
      <c r="G10" s="5" t="str">
        <f>"1410806055"</f>
        <v>1410806055</v>
      </c>
      <c r="H10" s="12" t="str">
        <f>"姚又瑄"</f>
        <v>姚又瑄</v>
      </c>
      <c r="I10" s="11" t="s">
        <v>113</v>
      </c>
      <c r="K10" s="8"/>
      <c r="L10" s="8"/>
      <c r="M10" s="7"/>
    </row>
    <row r="11" spans="1:13" x14ac:dyDescent="0.3">
      <c r="A11" s="5" t="s">
        <v>13</v>
      </c>
      <c r="B11" s="5" t="s">
        <v>30</v>
      </c>
      <c r="C11" s="12" t="s">
        <v>31</v>
      </c>
      <c r="D11" s="11" t="s">
        <v>126</v>
      </c>
      <c r="E11" s="7"/>
      <c r="F11" s="5" t="str">
        <f t="shared" si="0"/>
        <v>財金三２</v>
      </c>
      <c r="G11" s="5" t="str">
        <f>"1410806056"</f>
        <v>1410806056</v>
      </c>
      <c r="H11" s="12" t="str">
        <f>"張耘甄"</f>
        <v>張耘甄</v>
      </c>
      <c r="I11" s="11" t="s">
        <v>123</v>
      </c>
      <c r="K11" s="8"/>
      <c r="L11" s="8"/>
      <c r="M11" s="7"/>
    </row>
    <row r="12" spans="1:13" x14ac:dyDescent="0.3">
      <c r="A12" s="5" t="s">
        <v>13</v>
      </c>
      <c r="B12" s="5" t="s">
        <v>32</v>
      </c>
      <c r="C12" s="12" t="s">
        <v>33</v>
      </c>
      <c r="D12" s="11" t="s">
        <v>126</v>
      </c>
      <c r="E12" s="7"/>
      <c r="F12" s="5" t="str">
        <f t="shared" si="0"/>
        <v>財金三２</v>
      </c>
      <c r="G12" s="5" t="str">
        <f>"1410806057"</f>
        <v>1410806057</v>
      </c>
      <c r="H12" s="12" t="str">
        <f>"莊詠婕"</f>
        <v>莊詠婕</v>
      </c>
      <c r="I12" s="11" t="s">
        <v>114</v>
      </c>
      <c r="K12" s="7"/>
      <c r="L12" s="7"/>
      <c r="M12" s="7"/>
    </row>
    <row r="13" spans="1:13" x14ac:dyDescent="0.3">
      <c r="A13" s="5" t="s">
        <v>13</v>
      </c>
      <c r="B13" s="5" t="s">
        <v>34</v>
      </c>
      <c r="C13" s="12" t="s">
        <v>35</v>
      </c>
      <c r="D13" s="11" t="s">
        <v>118</v>
      </c>
      <c r="E13" s="7"/>
      <c r="F13" s="5" t="str">
        <f t="shared" si="0"/>
        <v>財金三２</v>
      </c>
      <c r="G13" s="5" t="str">
        <f>"1410806058"</f>
        <v>1410806058</v>
      </c>
      <c r="H13" s="12" t="str">
        <f>"陳玉芳"</f>
        <v>陳玉芳</v>
      </c>
      <c r="I13" s="11" t="s">
        <v>124</v>
      </c>
      <c r="K13" s="8"/>
      <c r="L13" s="8"/>
      <c r="M13" s="7"/>
    </row>
    <row r="14" spans="1:13" x14ac:dyDescent="0.3">
      <c r="A14" s="5" t="s">
        <v>13</v>
      </c>
      <c r="B14" s="5" t="s">
        <v>36</v>
      </c>
      <c r="C14" s="12" t="s">
        <v>37</v>
      </c>
      <c r="D14" s="11" t="s">
        <v>129</v>
      </c>
      <c r="E14" s="7"/>
      <c r="F14" s="5" t="str">
        <f t="shared" si="0"/>
        <v>財金三２</v>
      </c>
      <c r="G14" s="5" t="str">
        <f>"1410806059"</f>
        <v>1410806059</v>
      </c>
      <c r="H14" s="12" t="str">
        <f>"陳雅琪"</f>
        <v>陳雅琪</v>
      </c>
      <c r="I14" s="11" t="s">
        <v>123</v>
      </c>
      <c r="K14" s="7"/>
      <c r="L14" s="7"/>
      <c r="M14" s="7"/>
    </row>
    <row r="15" spans="1:13" x14ac:dyDescent="0.3">
      <c r="A15" s="5" t="s">
        <v>13</v>
      </c>
      <c r="B15" s="5" t="s">
        <v>38</v>
      </c>
      <c r="C15" s="12" t="s">
        <v>39</v>
      </c>
      <c r="D15" s="11" t="s">
        <v>122</v>
      </c>
      <c r="E15" s="7"/>
      <c r="F15" s="5" t="str">
        <f t="shared" si="0"/>
        <v>財金三２</v>
      </c>
      <c r="G15" s="5" t="str">
        <f>"1410806060"</f>
        <v>1410806060</v>
      </c>
      <c r="H15" s="12" t="str">
        <f>"游采霖"</f>
        <v>游采霖</v>
      </c>
      <c r="I15" s="11" t="s">
        <v>114</v>
      </c>
      <c r="K15" s="8"/>
      <c r="L15" s="8"/>
      <c r="M15" s="7"/>
    </row>
    <row r="16" spans="1:13" x14ac:dyDescent="0.3">
      <c r="A16" s="5" t="s">
        <v>13</v>
      </c>
      <c r="B16" s="5" t="s">
        <v>40</v>
      </c>
      <c r="C16" s="12" t="s">
        <v>41</v>
      </c>
      <c r="D16" s="11" t="s">
        <v>122</v>
      </c>
      <c r="E16" s="7"/>
      <c r="F16" s="5" t="str">
        <f t="shared" si="0"/>
        <v>財金三２</v>
      </c>
      <c r="G16" s="5" t="str">
        <f>"1410806061"</f>
        <v>1410806061</v>
      </c>
      <c r="H16" s="12" t="str">
        <f>"黃莘雅"</f>
        <v>黃莘雅</v>
      </c>
      <c r="I16" s="11" t="s">
        <v>130</v>
      </c>
      <c r="K16" s="8"/>
      <c r="L16" s="8"/>
      <c r="M16" s="7"/>
    </row>
    <row r="17" spans="1:13" x14ac:dyDescent="0.3">
      <c r="A17" s="5" t="s">
        <v>13</v>
      </c>
      <c r="B17" s="5" t="s">
        <v>42</v>
      </c>
      <c r="C17" s="12" t="s">
        <v>43</v>
      </c>
      <c r="D17" s="11" t="s">
        <v>118</v>
      </c>
      <c r="E17" s="7"/>
      <c r="F17" s="5" t="str">
        <f t="shared" si="0"/>
        <v>財金三２</v>
      </c>
      <c r="G17" s="5" t="str">
        <f>"1410806062"</f>
        <v>1410806062</v>
      </c>
      <c r="H17" s="12" t="str">
        <f>"詹芷瑜"</f>
        <v>詹芷瑜</v>
      </c>
      <c r="I17" s="11" t="s">
        <v>131</v>
      </c>
      <c r="K17" s="7"/>
      <c r="L17" s="7"/>
      <c r="M17" s="7"/>
    </row>
    <row r="18" spans="1:13" x14ac:dyDescent="0.3">
      <c r="A18" s="5" t="s">
        <v>13</v>
      </c>
      <c r="B18" s="5" t="s">
        <v>44</v>
      </c>
      <c r="C18" s="12" t="s">
        <v>45</v>
      </c>
      <c r="D18" s="11" t="s">
        <v>129</v>
      </c>
      <c r="E18" s="7"/>
      <c r="F18" s="5" t="str">
        <f t="shared" si="0"/>
        <v>財金三２</v>
      </c>
      <c r="G18" s="5" t="str">
        <f>"1410806063"</f>
        <v>1410806063</v>
      </c>
      <c r="H18" s="12" t="str">
        <f>"蔡旻芩"</f>
        <v>蔡旻芩</v>
      </c>
      <c r="I18" s="11" t="s">
        <v>124</v>
      </c>
      <c r="K18" s="8"/>
      <c r="L18" s="7"/>
      <c r="M18" s="7"/>
    </row>
    <row r="19" spans="1:13" x14ac:dyDescent="0.3">
      <c r="A19" s="5" t="s">
        <v>13</v>
      </c>
      <c r="B19" s="5" t="s">
        <v>46</v>
      </c>
      <c r="C19" s="12" t="s">
        <v>47</v>
      </c>
      <c r="D19" s="11" t="s">
        <v>118</v>
      </c>
      <c r="E19" s="7"/>
      <c r="F19" s="5" t="str">
        <f t="shared" si="0"/>
        <v>財金三２</v>
      </c>
      <c r="G19" s="5" t="str">
        <f>"1410806064"</f>
        <v>1410806064</v>
      </c>
      <c r="H19" s="12" t="str">
        <f>"蔡姄玹"</f>
        <v>蔡姄玹</v>
      </c>
      <c r="I19" s="11" t="s">
        <v>114</v>
      </c>
      <c r="K19" s="8"/>
      <c r="L19" s="8"/>
      <c r="M19" s="8"/>
    </row>
    <row r="20" spans="1:13" x14ac:dyDescent="0.3">
      <c r="A20" s="5" t="s">
        <v>13</v>
      </c>
      <c r="B20" s="5" t="s">
        <v>48</v>
      </c>
      <c r="C20" s="12" t="s">
        <v>49</v>
      </c>
      <c r="D20" s="11" t="s">
        <v>129</v>
      </c>
      <c r="E20" s="7"/>
      <c r="F20" s="5" t="str">
        <f t="shared" si="0"/>
        <v>財金三２</v>
      </c>
      <c r="G20" s="5" t="str">
        <f>"1410806065"</f>
        <v>1410806065</v>
      </c>
      <c r="H20" s="12" t="str">
        <f>"戴宏貞"</f>
        <v>戴宏貞</v>
      </c>
      <c r="I20" s="11" t="s">
        <v>120</v>
      </c>
      <c r="K20" s="10"/>
      <c r="L20" s="10"/>
      <c r="M20" s="10"/>
    </row>
    <row r="21" spans="1:13" x14ac:dyDescent="0.3">
      <c r="A21" s="5" t="s">
        <v>13</v>
      </c>
      <c r="B21" s="5" t="s">
        <v>50</v>
      </c>
      <c r="C21" s="12" t="s">
        <v>51</v>
      </c>
      <c r="D21" s="11" t="s">
        <v>116</v>
      </c>
      <c r="E21" s="7"/>
      <c r="F21" s="5" t="str">
        <f t="shared" si="0"/>
        <v>財金三２</v>
      </c>
      <c r="G21" s="5" t="str">
        <f>"1410806066"</f>
        <v>1410806066</v>
      </c>
      <c r="H21" s="12" t="str">
        <f>"謝昀軒"</f>
        <v>謝昀軒</v>
      </c>
      <c r="I21" s="11" t="s">
        <v>114</v>
      </c>
      <c r="K21" s="8"/>
      <c r="L21" s="10"/>
      <c r="M21" s="10"/>
    </row>
    <row r="22" spans="1:13" x14ac:dyDescent="0.3">
      <c r="A22" s="5" t="s">
        <v>13</v>
      </c>
      <c r="B22" s="5" t="s">
        <v>52</v>
      </c>
      <c r="C22" s="12" t="s">
        <v>53</v>
      </c>
      <c r="D22" s="11" t="s">
        <v>117</v>
      </c>
      <c r="E22" s="7"/>
      <c r="F22" s="5" t="str">
        <f t="shared" si="0"/>
        <v>財金三２</v>
      </c>
      <c r="G22" s="5" t="str">
        <f>"1410806068"</f>
        <v>1410806068</v>
      </c>
      <c r="H22" s="12" t="str">
        <f>"王翊玟"</f>
        <v>王翊玟</v>
      </c>
      <c r="I22" s="11" t="s">
        <v>113</v>
      </c>
    </row>
    <row r="23" spans="1:13" x14ac:dyDescent="0.3">
      <c r="A23" s="5" t="s">
        <v>13</v>
      </c>
      <c r="B23" s="5" t="s">
        <v>54</v>
      </c>
      <c r="C23" s="12" t="s">
        <v>55</v>
      </c>
      <c r="D23" s="11" t="s">
        <v>116</v>
      </c>
      <c r="E23" s="7"/>
      <c r="F23" s="5" t="str">
        <f t="shared" si="0"/>
        <v>財金三２</v>
      </c>
      <c r="G23" s="5" t="str">
        <f>"1410806069"</f>
        <v>1410806069</v>
      </c>
      <c r="H23" s="12" t="str">
        <f>"石若彣"</f>
        <v>石若彣</v>
      </c>
      <c r="I23" s="11" t="s">
        <v>131</v>
      </c>
    </row>
    <row r="24" spans="1:13" x14ac:dyDescent="0.3">
      <c r="A24" s="5" t="s">
        <v>13</v>
      </c>
      <c r="B24" s="5" t="s">
        <v>56</v>
      </c>
      <c r="C24" s="12" t="s">
        <v>57</v>
      </c>
      <c r="D24" s="11" t="s">
        <v>119</v>
      </c>
      <c r="E24" s="7"/>
      <c r="F24" s="5" t="str">
        <f t="shared" si="0"/>
        <v>財金三２</v>
      </c>
      <c r="G24" s="5" t="str">
        <f>"1410806070"</f>
        <v>1410806070</v>
      </c>
      <c r="H24" s="12" t="str">
        <f>"周宥妘"</f>
        <v>周宥妘</v>
      </c>
      <c r="I24" s="11" t="s">
        <v>130</v>
      </c>
    </row>
    <row r="25" spans="1:13" x14ac:dyDescent="0.3">
      <c r="A25" s="5" t="s">
        <v>13</v>
      </c>
      <c r="B25" s="5" t="s">
        <v>58</v>
      </c>
      <c r="C25" s="12" t="s">
        <v>59</v>
      </c>
      <c r="D25" s="11" t="s">
        <v>117</v>
      </c>
      <c r="E25" s="7"/>
      <c r="F25" s="5" t="str">
        <f t="shared" si="0"/>
        <v>財金三２</v>
      </c>
      <c r="G25" s="5" t="str">
        <f>"1410806071"</f>
        <v>1410806071</v>
      </c>
      <c r="H25" s="12" t="str">
        <f>"林佩諭"</f>
        <v>林佩諭</v>
      </c>
      <c r="I25" s="11" t="s">
        <v>124</v>
      </c>
    </row>
    <row r="26" spans="1:13" x14ac:dyDescent="0.3">
      <c r="A26" s="5" t="s">
        <v>13</v>
      </c>
      <c r="B26" s="5" t="s">
        <v>60</v>
      </c>
      <c r="C26" s="12" t="s">
        <v>61</v>
      </c>
      <c r="D26" s="11" t="s">
        <v>118</v>
      </c>
      <c r="E26" s="7"/>
      <c r="F26" s="5" t="str">
        <f t="shared" si="0"/>
        <v>財金三２</v>
      </c>
      <c r="G26" s="5" t="str">
        <f>"1410806073"</f>
        <v>1410806073</v>
      </c>
      <c r="H26" s="12" t="str">
        <f>"張蕙讌"</f>
        <v>張蕙讌</v>
      </c>
      <c r="I26" s="11" t="s">
        <v>125</v>
      </c>
    </row>
    <row r="27" spans="1:13" x14ac:dyDescent="0.3">
      <c r="A27" s="5" t="s">
        <v>13</v>
      </c>
      <c r="B27" s="5" t="s">
        <v>62</v>
      </c>
      <c r="C27" s="12" t="s">
        <v>63</v>
      </c>
      <c r="D27" s="11" t="s">
        <v>116</v>
      </c>
      <c r="E27" s="7"/>
      <c r="F27" s="5" t="str">
        <f t="shared" si="0"/>
        <v>財金三２</v>
      </c>
      <c r="G27" s="5" t="str">
        <f>"1410806074"</f>
        <v>1410806074</v>
      </c>
      <c r="H27" s="12" t="str">
        <f>"郭美汎"</f>
        <v>郭美汎</v>
      </c>
      <c r="I27" s="11" t="s">
        <v>123</v>
      </c>
    </row>
    <row r="28" spans="1:13" x14ac:dyDescent="0.3">
      <c r="A28" s="5" t="s">
        <v>13</v>
      </c>
      <c r="B28" s="5" t="s">
        <v>64</v>
      </c>
      <c r="C28" s="12" t="s">
        <v>65</v>
      </c>
      <c r="D28" s="11" t="s">
        <v>121</v>
      </c>
      <c r="E28" s="7"/>
      <c r="F28" s="5" t="str">
        <f t="shared" si="0"/>
        <v>財金三２</v>
      </c>
      <c r="G28" s="5" t="str">
        <f>"1410806075"</f>
        <v>1410806075</v>
      </c>
      <c r="H28" s="12" t="str">
        <f>"傅雅琴"</f>
        <v>傅雅琴</v>
      </c>
      <c r="I28" s="11" t="s">
        <v>131</v>
      </c>
    </row>
    <row r="29" spans="1:13" x14ac:dyDescent="0.3">
      <c r="A29" s="5" t="s">
        <v>13</v>
      </c>
      <c r="B29" s="5" t="s">
        <v>66</v>
      </c>
      <c r="C29" s="12" t="s">
        <v>67</v>
      </c>
      <c r="D29" s="11" t="s">
        <v>126</v>
      </c>
      <c r="E29" s="7"/>
      <c r="F29" s="5" t="str">
        <f t="shared" si="0"/>
        <v>財金三２</v>
      </c>
      <c r="G29" s="5" t="str">
        <f>"1410806076"</f>
        <v>1410806076</v>
      </c>
      <c r="H29" s="12" t="str">
        <f>"程宥羚"</f>
        <v>程宥羚</v>
      </c>
      <c r="I29" s="11" t="s">
        <v>123</v>
      </c>
    </row>
    <row r="30" spans="1:13" x14ac:dyDescent="0.3">
      <c r="A30" s="5" t="s">
        <v>13</v>
      </c>
      <c r="B30" s="5" t="s">
        <v>68</v>
      </c>
      <c r="C30" s="12" t="s">
        <v>69</v>
      </c>
      <c r="D30" s="11" t="s">
        <v>118</v>
      </c>
      <c r="E30" s="7"/>
      <c r="F30" s="5" t="str">
        <f t="shared" si="0"/>
        <v>財金三２</v>
      </c>
      <c r="G30" s="5" t="str">
        <f>"1410806077"</f>
        <v>1410806077</v>
      </c>
      <c r="H30" s="12" t="str">
        <f>"詹羽涵"</f>
        <v>詹羽涵</v>
      </c>
      <c r="I30" s="11" t="s">
        <v>123</v>
      </c>
    </row>
    <row r="31" spans="1:13" x14ac:dyDescent="0.3">
      <c r="A31" s="5" t="s">
        <v>13</v>
      </c>
      <c r="B31" s="5" t="s">
        <v>70</v>
      </c>
      <c r="C31" s="12" t="s">
        <v>71</v>
      </c>
      <c r="D31" s="11" t="s">
        <v>129</v>
      </c>
      <c r="E31" s="7"/>
      <c r="F31" s="5" t="str">
        <f t="shared" si="0"/>
        <v>財金三２</v>
      </c>
      <c r="G31" s="5" t="str">
        <f>"1410806078"</f>
        <v>1410806078</v>
      </c>
      <c r="H31" s="12" t="str">
        <f>"劉佳瑄"</f>
        <v>劉佳瑄</v>
      </c>
      <c r="I31" s="11" t="s">
        <v>130</v>
      </c>
    </row>
    <row r="32" spans="1:13" x14ac:dyDescent="0.3">
      <c r="A32" s="5" t="s">
        <v>13</v>
      </c>
      <c r="B32" s="5" t="s">
        <v>72</v>
      </c>
      <c r="C32" s="12" t="s">
        <v>73</v>
      </c>
      <c r="D32" s="11" t="s">
        <v>119</v>
      </c>
      <c r="E32" s="7"/>
      <c r="F32" s="5" t="str">
        <f t="shared" si="0"/>
        <v>財金三２</v>
      </c>
      <c r="G32" s="5" t="str">
        <f>"1410806079"</f>
        <v>1410806079</v>
      </c>
      <c r="H32" s="12" t="str">
        <f>"王傳硯"</f>
        <v>王傳硯</v>
      </c>
      <c r="I32" s="11" t="s">
        <v>120</v>
      </c>
    </row>
    <row r="33" spans="1:9" x14ac:dyDescent="0.3">
      <c r="A33" s="5" t="s">
        <v>13</v>
      </c>
      <c r="B33" s="5" t="s">
        <v>74</v>
      </c>
      <c r="C33" s="12" t="s">
        <v>75</v>
      </c>
      <c r="D33" s="11" t="s">
        <v>119</v>
      </c>
      <c r="E33" s="7"/>
      <c r="F33" s="5" t="str">
        <f t="shared" si="0"/>
        <v>財金三２</v>
      </c>
      <c r="G33" s="5" t="str">
        <f>"1410806080"</f>
        <v>1410806080</v>
      </c>
      <c r="H33" s="12" t="str">
        <f>"洪證淇"</f>
        <v>洪證淇</v>
      </c>
      <c r="I33" s="11" t="s">
        <v>132</v>
      </c>
    </row>
    <row r="34" spans="1:9" x14ac:dyDescent="0.3">
      <c r="A34" s="5" t="s">
        <v>13</v>
      </c>
      <c r="B34" s="5" t="s">
        <v>76</v>
      </c>
      <c r="C34" s="12" t="s">
        <v>77</v>
      </c>
      <c r="D34" s="11" t="s">
        <v>117</v>
      </c>
      <c r="E34" s="7"/>
      <c r="F34" s="5" t="str">
        <f t="shared" si="0"/>
        <v>財金三２</v>
      </c>
      <c r="G34" s="5" t="str">
        <f>"1410806081"</f>
        <v>1410806081</v>
      </c>
      <c r="H34" s="12" t="str">
        <f>"莊維銘"</f>
        <v>莊維銘</v>
      </c>
      <c r="I34" s="6" t="s">
        <v>134</v>
      </c>
    </row>
    <row r="35" spans="1:9" x14ac:dyDescent="0.3">
      <c r="A35" s="5" t="s">
        <v>13</v>
      </c>
      <c r="B35" s="5" t="s">
        <v>78</v>
      </c>
      <c r="C35" s="12" t="s">
        <v>79</v>
      </c>
      <c r="D35" s="11" t="s">
        <v>122</v>
      </c>
      <c r="E35" s="7"/>
      <c r="F35" s="5" t="str">
        <f t="shared" si="0"/>
        <v>財金三２</v>
      </c>
      <c r="G35" s="5" t="str">
        <f>"1410806082"</f>
        <v>1410806082</v>
      </c>
      <c r="H35" s="12" t="str">
        <f>"許躍騰"</f>
        <v>許躍騰</v>
      </c>
      <c r="I35" s="11" t="s">
        <v>132</v>
      </c>
    </row>
    <row r="36" spans="1:9" x14ac:dyDescent="0.3">
      <c r="A36" s="5" t="s">
        <v>13</v>
      </c>
      <c r="B36" s="5" t="s">
        <v>80</v>
      </c>
      <c r="C36" s="12" t="s">
        <v>81</v>
      </c>
      <c r="D36" s="11" t="s">
        <v>119</v>
      </c>
      <c r="E36" s="7"/>
      <c r="F36" s="5" t="str">
        <f t="shared" si="0"/>
        <v>財金三２</v>
      </c>
      <c r="G36" s="5" t="str">
        <f>"1410806083"</f>
        <v>1410806083</v>
      </c>
      <c r="H36" s="12" t="str">
        <f>"賴冠順"</f>
        <v>賴冠順</v>
      </c>
      <c r="I36" s="11" t="s">
        <v>132</v>
      </c>
    </row>
    <row r="37" spans="1:9" x14ac:dyDescent="0.3">
      <c r="A37" s="5" t="s">
        <v>13</v>
      </c>
      <c r="B37" s="5" t="s">
        <v>82</v>
      </c>
      <c r="C37" s="12" t="s">
        <v>83</v>
      </c>
      <c r="D37" s="11" t="s">
        <v>115</v>
      </c>
      <c r="F37" s="5" t="str">
        <f t="shared" si="0"/>
        <v>財金三２</v>
      </c>
      <c r="G37" s="5" t="str">
        <f>"1410806084"</f>
        <v>1410806084</v>
      </c>
      <c r="H37" s="12" t="str">
        <f>"王聖齊"</f>
        <v>王聖齊</v>
      </c>
      <c r="I37" s="11" t="s">
        <v>132</v>
      </c>
    </row>
    <row r="38" spans="1:9" x14ac:dyDescent="0.3">
      <c r="A38" s="5" t="s">
        <v>13</v>
      </c>
      <c r="B38" s="5" t="s">
        <v>86</v>
      </c>
      <c r="C38" s="12" t="s">
        <v>133</v>
      </c>
      <c r="D38" s="11" t="s">
        <v>116</v>
      </c>
      <c r="E38" s="7"/>
      <c r="F38" s="5" t="str">
        <f t="shared" si="0"/>
        <v>財金三２</v>
      </c>
      <c r="G38" s="5" t="str">
        <f>"1410806085"</f>
        <v>1410806085</v>
      </c>
      <c r="H38" s="12" t="str">
        <f>"李浩宇"</f>
        <v>李浩宇</v>
      </c>
      <c r="I38" s="11" t="s">
        <v>120</v>
      </c>
    </row>
    <row r="39" spans="1:9" x14ac:dyDescent="0.3">
      <c r="A39" s="5" t="s">
        <v>13</v>
      </c>
      <c r="B39" s="5" t="s">
        <v>87</v>
      </c>
      <c r="C39" s="12" t="s">
        <v>88</v>
      </c>
      <c r="D39" s="11" t="s">
        <v>127</v>
      </c>
      <c r="E39" s="7"/>
      <c r="F39" s="5" t="str">
        <f t="shared" si="0"/>
        <v>財金三２</v>
      </c>
      <c r="G39" s="5" t="str">
        <f>"1410806086"</f>
        <v>1410806086</v>
      </c>
      <c r="H39" s="12" t="str">
        <f>"邵名嘉"</f>
        <v>邵名嘉</v>
      </c>
      <c r="I39" s="6" t="s">
        <v>134</v>
      </c>
    </row>
    <row r="40" spans="1:9" x14ac:dyDescent="0.3">
      <c r="A40" s="5" t="s">
        <v>13</v>
      </c>
      <c r="B40" s="5" t="s">
        <v>89</v>
      </c>
      <c r="C40" s="12" t="s">
        <v>90</v>
      </c>
      <c r="D40" s="11" t="s">
        <v>121</v>
      </c>
      <c r="E40" s="7"/>
      <c r="F40" s="5" t="str">
        <f t="shared" si="0"/>
        <v>財金三２</v>
      </c>
      <c r="G40" s="5" t="str">
        <f>"1410806087"</f>
        <v>1410806087</v>
      </c>
      <c r="H40" s="12" t="str">
        <f>"張翔堉"</f>
        <v>張翔堉</v>
      </c>
      <c r="I40" s="11" t="s">
        <v>120</v>
      </c>
    </row>
    <row r="41" spans="1:9" x14ac:dyDescent="0.3">
      <c r="A41" s="5" t="s">
        <v>13</v>
      </c>
      <c r="B41" s="5" t="s">
        <v>91</v>
      </c>
      <c r="C41" s="12" t="s">
        <v>92</v>
      </c>
      <c r="D41" s="11" t="s">
        <v>128</v>
      </c>
      <c r="E41" s="7"/>
      <c r="F41" s="5" t="str">
        <f t="shared" si="0"/>
        <v>財金三２</v>
      </c>
      <c r="G41" s="5" t="str">
        <f>"1410806088"</f>
        <v>1410806088</v>
      </c>
      <c r="H41" s="12" t="str">
        <f>"許家源"</f>
        <v>許家源</v>
      </c>
      <c r="I41" s="11" t="s">
        <v>132</v>
      </c>
    </row>
    <row r="42" spans="1:9" x14ac:dyDescent="0.3">
      <c r="A42" s="5" t="s">
        <v>13</v>
      </c>
      <c r="B42" s="5" t="s">
        <v>93</v>
      </c>
      <c r="C42" s="12" t="s">
        <v>94</v>
      </c>
      <c r="D42" s="11" t="s">
        <v>128</v>
      </c>
      <c r="E42" s="7"/>
      <c r="F42" s="5" t="str">
        <f t="shared" si="0"/>
        <v>財金三２</v>
      </c>
      <c r="G42" s="5" t="str">
        <f>"1410806089"</f>
        <v>1410806089</v>
      </c>
      <c r="H42" s="12" t="str">
        <f>"陳智翔"</f>
        <v>陳智翔</v>
      </c>
      <c r="I42" s="6" t="s">
        <v>134</v>
      </c>
    </row>
    <row r="43" spans="1:9" x14ac:dyDescent="0.3">
      <c r="A43" s="5" t="s">
        <v>13</v>
      </c>
      <c r="B43" s="5" t="s">
        <v>95</v>
      </c>
      <c r="C43" s="12" t="s">
        <v>96</v>
      </c>
      <c r="D43" s="11" t="s">
        <v>115</v>
      </c>
      <c r="E43" s="7"/>
      <c r="F43" s="5" t="str">
        <f t="shared" si="0"/>
        <v>財金三２</v>
      </c>
      <c r="G43" s="5" t="str">
        <f>"1410806090"</f>
        <v>1410806090</v>
      </c>
      <c r="H43" s="12" t="str">
        <f>"黃家保"</f>
        <v>黃家保</v>
      </c>
      <c r="I43" s="11" t="s">
        <v>132</v>
      </c>
    </row>
    <row r="44" spans="1:9" x14ac:dyDescent="0.3">
      <c r="A44" s="5" t="s">
        <v>13</v>
      </c>
      <c r="B44" s="5" t="s">
        <v>97</v>
      </c>
      <c r="C44" s="12" t="s">
        <v>98</v>
      </c>
      <c r="D44" s="11" t="s">
        <v>127</v>
      </c>
      <c r="E44" s="7"/>
      <c r="F44" s="5" t="str">
        <f t="shared" si="0"/>
        <v>財金三２</v>
      </c>
      <c r="G44" s="5" t="str">
        <f>"1410806091"</f>
        <v>1410806091</v>
      </c>
      <c r="H44" s="12" t="str">
        <f>"黃慶洲"</f>
        <v>黃慶洲</v>
      </c>
      <c r="I44" s="6" t="s">
        <v>134</v>
      </c>
    </row>
    <row r="45" spans="1:9" x14ac:dyDescent="0.3">
      <c r="A45" s="5" t="s">
        <v>13</v>
      </c>
      <c r="B45" s="5" t="s">
        <v>99</v>
      </c>
      <c r="C45" s="12" t="s">
        <v>100</v>
      </c>
      <c r="D45" s="11" t="s">
        <v>127</v>
      </c>
      <c r="E45" s="7"/>
      <c r="F45" s="5" t="str">
        <f t="shared" si="0"/>
        <v>財金三２</v>
      </c>
      <c r="G45" s="5" t="str">
        <f>"1410806094"</f>
        <v>1410806094</v>
      </c>
      <c r="H45" s="12" t="str">
        <f>"鄧金英"</f>
        <v>鄧金英</v>
      </c>
      <c r="I45" s="11" t="s">
        <v>125</v>
      </c>
    </row>
    <row r="46" spans="1:9" x14ac:dyDescent="0.3">
      <c r="A46" s="5" t="s">
        <v>13</v>
      </c>
      <c r="B46" s="5" t="s">
        <v>101</v>
      </c>
      <c r="C46" s="12" t="s">
        <v>102</v>
      </c>
      <c r="D46" s="11" t="s">
        <v>115</v>
      </c>
      <c r="E46" s="7"/>
      <c r="F46" s="5" t="str">
        <f t="shared" si="0"/>
        <v>財金三２</v>
      </c>
      <c r="G46" s="5" t="str">
        <f>"1410806095"</f>
        <v>1410806095</v>
      </c>
      <c r="H46" s="12" t="str">
        <f>"佘欣潓"</f>
        <v>佘欣潓</v>
      </c>
      <c r="I46" s="11" t="s">
        <v>125</v>
      </c>
    </row>
    <row r="47" spans="1:9" x14ac:dyDescent="0.3">
      <c r="A47" s="5" t="s">
        <v>13</v>
      </c>
      <c r="B47" s="5" t="s">
        <v>103</v>
      </c>
      <c r="C47" s="12" t="s">
        <v>104</v>
      </c>
      <c r="D47" s="11" t="s">
        <v>115</v>
      </c>
      <c r="E47" s="7"/>
      <c r="F47" s="5" t="str">
        <f t="shared" si="0"/>
        <v>財金三２</v>
      </c>
      <c r="G47" s="5" t="str">
        <f>"1410806096"</f>
        <v>1410806096</v>
      </c>
      <c r="H47" s="12" t="str">
        <f>"范蔆玲"</f>
        <v>范蔆玲</v>
      </c>
      <c r="I47" s="11" t="s">
        <v>130</v>
      </c>
    </row>
    <row r="48" spans="1:9" x14ac:dyDescent="0.3">
      <c r="A48" s="5" t="s">
        <v>13</v>
      </c>
      <c r="B48" s="5" t="s">
        <v>105</v>
      </c>
      <c r="C48" s="12" t="s">
        <v>106</v>
      </c>
      <c r="D48" s="11" t="s">
        <v>128</v>
      </c>
      <c r="E48" s="7"/>
      <c r="F48" s="5" t="str">
        <f t="shared" si="0"/>
        <v>財金三２</v>
      </c>
      <c r="G48" s="5" t="str">
        <f>"1410806097"</f>
        <v>1410806097</v>
      </c>
      <c r="H48" s="13" t="str">
        <f>"許少瑜"</f>
        <v>許少瑜</v>
      </c>
      <c r="I48" s="11" t="s">
        <v>124</v>
      </c>
    </row>
    <row r="49" spans="1:9" x14ac:dyDescent="0.3">
      <c r="A49" s="5" t="s">
        <v>13</v>
      </c>
      <c r="B49" s="5" t="s">
        <v>107</v>
      </c>
      <c r="C49" s="12" t="s">
        <v>108</v>
      </c>
      <c r="D49" s="11" t="s">
        <v>128</v>
      </c>
      <c r="E49" s="7"/>
      <c r="F49" s="5" t="str">
        <f t="shared" si="0"/>
        <v>財金三２</v>
      </c>
      <c r="G49" s="5" t="str">
        <f>"1410806098"</f>
        <v>1410806098</v>
      </c>
      <c r="H49" s="12" t="str">
        <f>"林嘉鴻"</f>
        <v>林嘉鴻</v>
      </c>
      <c r="I49" s="11" t="s">
        <v>125</v>
      </c>
    </row>
    <row r="50" spans="1:9" x14ac:dyDescent="0.3">
      <c r="A50" s="5" t="s">
        <v>13</v>
      </c>
      <c r="B50" s="5" t="s">
        <v>109</v>
      </c>
      <c r="C50" s="12" t="s">
        <v>110</v>
      </c>
      <c r="D50" s="11" t="s">
        <v>126</v>
      </c>
      <c r="E50" s="7"/>
      <c r="F50" s="9"/>
      <c r="G50" s="9"/>
      <c r="H50" s="14"/>
      <c r="I50" s="15"/>
    </row>
    <row r="51" spans="1:9" x14ac:dyDescent="0.3">
      <c r="A51" s="5" t="s">
        <v>13</v>
      </c>
      <c r="B51" s="5" t="s">
        <v>111</v>
      </c>
      <c r="C51" s="12" t="s">
        <v>112</v>
      </c>
      <c r="D51" s="11" t="s">
        <v>121</v>
      </c>
      <c r="E51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0" zoomScale="110" zoomScaleNormal="110" workbookViewId="0">
      <selection activeCell="B39" sqref="B39"/>
    </sheetView>
  </sheetViews>
  <sheetFormatPr defaultRowHeight="18" x14ac:dyDescent="0.3"/>
  <cols>
    <col min="1" max="1" width="12.33203125" style="1" bestFit="1" customWidth="1"/>
    <col min="2" max="2" width="17.33203125" style="1" bestFit="1" customWidth="1"/>
    <col min="3" max="3" width="9.5546875" style="16" bestFit="1" customWidth="1"/>
    <col min="4" max="4" width="12.33203125" style="16" bestFit="1" customWidth="1"/>
    <col min="5" max="5" width="8.88671875" style="1"/>
    <col min="6" max="6" width="12.33203125" style="1" bestFit="1" customWidth="1"/>
    <col min="7" max="7" width="17.33203125" style="16" bestFit="1" customWidth="1"/>
    <col min="8" max="8" width="9.5546875" style="16" bestFit="1" customWidth="1"/>
    <col min="9" max="9" width="12.33203125" style="1" bestFit="1" customWidth="1"/>
    <col min="10" max="16384" width="8.88671875" style="1"/>
  </cols>
  <sheetData>
    <row r="1" spans="1:10" x14ac:dyDescent="0.3">
      <c r="A1" s="2" t="s">
        <v>0</v>
      </c>
      <c r="B1" s="3" t="s">
        <v>1</v>
      </c>
      <c r="C1" s="2" t="s">
        <v>2</v>
      </c>
      <c r="D1" s="4" t="s">
        <v>3</v>
      </c>
      <c r="E1" s="1" t="s">
        <v>208</v>
      </c>
      <c r="F1" s="2" t="s">
        <v>0</v>
      </c>
      <c r="G1" s="3" t="s">
        <v>1</v>
      </c>
      <c r="H1" s="2" t="s">
        <v>2</v>
      </c>
      <c r="I1" s="4" t="s">
        <v>3</v>
      </c>
      <c r="J1" s="4" t="s">
        <v>209</v>
      </c>
    </row>
    <row r="2" spans="1:10" x14ac:dyDescent="0.3">
      <c r="A2" s="5" t="s">
        <v>13</v>
      </c>
      <c r="B2" s="5" t="s">
        <v>50</v>
      </c>
      <c r="C2" s="12" t="s">
        <v>51</v>
      </c>
      <c r="D2" s="11" t="s">
        <v>6</v>
      </c>
      <c r="F2" s="5" t="str">
        <f t="shared" ref="F2:F49" si="0">"財金三２"</f>
        <v>財金三２</v>
      </c>
      <c r="G2" s="5" t="str">
        <f>"1410806057"</f>
        <v>1410806057</v>
      </c>
      <c r="H2" s="12" t="str">
        <f>"莊詠婕"</f>
        <v>莊詠婕</v>
      </c>
      <c r="I2" s="11" t="s">
        <v>7</v>
      </c>
    </row>
    <row r="3" spans="1:10" x14ac:dyDescent="0.3">
      <c r="A3" s="5" t="s">
        <v>13</v>
      </c>
      <c r="B3" s="5" t="s">
        <v>54</v>
      </c>
      <c r="C3" s="12" t="s">
        <v>55</v>
      </c>
      <c r="D3" s="11" t="s">
        <v>6</v>
      </c>
      <c r="F3" s="5" t="str">
        <f t="shared" si="0"/>
        <v>財金三２</v>
      </c>
      <c r="G3" s="5" t="str">
        <f>"1410806060"</f>
        <v>1410806060</v>
      </c>
      <c r="H3" s="12" t="str">
        <f>"游采霖"</f>
        <v>游采霖</v>
      </c>
      <c r="I3" s="11" t="s">
        <v>7</v>
      </c>
    </row>
    <row r="4" spans="1:10" x14ac:dyDescent="0.3">
      <c r="A4" s="5" t="s">
        <v>13</v>
      </c>
      <c r="B4" s="5" t="s">
        <v>62</v>
      </c>
      <c r="C4" s="12" t="s">
        <v>63</v>
      </c>
      <c r="D4" s="11" t="s">
        <v>6</v>
      </c>
      <c r="F4" s="5" t="str">
        <f t="shared" si="0"/>
        <v>財金三２</v>
      </c>
      <c r="G4" s="5" t="str">
        <f>"1410806064"</f>
        <v>1410806064</v>
      </c>
      <c r="H4" s="12" t="str">
        <f>"蔡姄玹"</f>
        <v>蔡姄玹</v>
      </c>
      <c r="I4" s="11" t="s">
        <v>7</v>
      </c>
      <c r="J4" s="7"/>
    </row>
    <row r="5" spans="1:10" x14ac:dyDescent="0.3">
      <c r="A5" s="5" t="s">
        <v>13</v>
      </c>
      <c r="B5" s="5" t="s">
        <v>86</v>
      </c>
      <c r="C5" s="12" t="s">
        <v>133</v>
      </c>
      <c r="D5" s="11" t="s">
        <v>6</v>
      </c>
      <c r="F5" s="5" t="str">
        <f t="shared" si="0"/>
        <v>財金三２</v>
      </c>
      <c r="G5" s="5" t="str">
        <f>"1410806066"</f>
        <v>1410806066</v>
      </c>
      <c r="H5" s="12" t="str">
        <f>"謝昀軒"</f>
        <v>謝昀軒</v>
      </c>
      <c r="I5" s="11" t="s">
        <v>7</v>
      </c>
      <c r="J5" s="7"/>
    </row>
    <row r="6" spans="1:10" x14ac:dyDescent="0.3">
      <c r="A6" s="5" t="s">
        <v>13</v>
      </c>
      <c r="B6" s="5" t="s">
        <v>30</v>
      </c>
      <c r="C6" s="12" t="s">
        <v>31</v>
      </c>
      <c r="D6" s="11" t="s">
        <v>126</v>
      </c>
      <c r="F6" s="5" t="str">
        <f t="shared" si="0"/>
        <v>財金三２</v>
      </c>
      <c r="G6" s="5" t="str">
        <f>"1410806056"</f>
        <v>1410806056</v>
      </c>
      <c r="H6" s="12" t="str">
        <f>"張耘甄"</f>
        <v>張耘甄</v>
      </c>
      <c r="I6" s="11" t="s">
        <v>123</v>
      </c>
      <c r="J6" s="7"/>
    </row>
    <row r="7" spans="1:10" x14ac:dyDescent="0.3">
      <c r="A7" s="5" t="s">
        <v>13</v>
      </c>
      <c r="B7" s="5" t="s">
        <v>32</v>
      </c>
      <c r="C7" s="12" t="s">
        <v>33</v>
      </c>
      <c r="D7" s="11" t="s">
        <v>126</v>
      </c>
      <c r="F7" s="5" t="str">
        <f t="shared" si="0"/>
        <v>財金三２</v>
      </c>
      <c r="G7" s="5" t="str">
        <f>"1410806059"</f>
        <v>1410806059</v>
      </c>
      <c r="H7" s="12" t="str">
        <f>"陳雅琪"</f>
        <v>陳雅琪</v>
      </c>
      <c r="I7" s="11" t="s">
        <v>123</v>
      </c>
      <c r="J7" s="8"/>
    </row>
    <row r="8" spans="1:10" x14ac:dyDescent="0.3">
      <c r="A8" s="5" t="s">
        <v>13</v>
      </c>
      <c r="B8" s="5" t="s">
        <v>66</v>
      </c>
      <c r="C8" s="12" t="s">
        <v>67</v>
      </c>
      <c r="D8" s="11" t="s">
        <v>126</v>
      </c>
      <c r="F8" s="5" t="str">
        <f t="shared" si="0"/>
        <v>財金三２</v>
      </c>
      <c r="G8" s="5" t="str">
        <f>"1410806074"</f>
        <v>1410806074</v>
      </c>
      <c r="H8" s="12" t="str">
        <f>"郭美汎"</f>
        <v>郭美汎</v>
      </c>
      <c r="I8" s="11" t="s">
        <v>123</v>
      </c>
      <c r="J8" s="8"/>
    </row>
    <row r="9" spans="1:10" x14ac:dyDescent="0.3">
      <c r="A9" s="5" t="s">
        <v>13</v>
      </c>
      <c r="B9" s="5" t="s">
        <v>109</v>
      </c>
      <c r="C9" s="12" t="s">
        <v>110</v>
      </c>
      <c r="D9" s="11" t="s">
        <v>126</v>
      </c>
      <c r="F9" s="5" t="str">
        <f t="shared" si="0"/>
        <v>財金三２</v>
      </c>
      <c r="G9" s="5" t="str">
        <f>"1410806076"</f>
        <v>1410806076</v>
      </c>
      <c r="H9" s="12" t="str">
        <f>"程宥羚"</f>
        <v>程宥羚</v>
      </c>
      <c r="I9" s="11" t="s">
        <v>123</v>
      </c>
      <c r="J9" s="7"/>
    </row>
    <row r="10" spans="1:10" x14ac:dyDescent="0.3">
      <c r="A10" s="5" t="s">
        <v>13</v>
      </c>
      <c r="B10" s="5" t="s">
        <v>56</v>
      </c>
      <c r="C10" s="12" t="s">
        <v>57</v>
      </c>
      <c r="D10" s="11" t="s">
        <v>119</v>
      </c>
      <c r="F10" s="5" t="str">
        <f t="shared" si="0"/>
        <v>財金三２</v>
      </c>
      <c r="G10" s="5" t="str">
        <f>"1410806077"</f>
        <v>1410806077</v>
      </c>
      <c r="H10" s="12" t="str">
        <f>"詹羽涵"</f>
        <v>詹羽涵</v>
      </c>
      <c r="I10" s="11" t="s">
        <v>123</v>
      </c>
      <c r="J10" s="8"/>
    </row>
    <row r="11" spans="1:10" x14ac:dyDescent="0.3">
      <c r="A11" s="5" t="s">
        <v>13</v>
      </c>
      <c r="B11" s="5" t="s">
        <v>72</v>
      </c>
      <c r="C11" s="12" t="s">
        <v>73</v>
      </c>
      <c r="D11" s="11" t="s">
        <v>119</v>
      </c>
      <c r="F11" s="5" t="str">
        <f t="shared" si="0"/>
        <v>財金三２</v>
      </c>
      <c r="G11" s="5" t="str">
        <f>"1410806081"</f>
        <v>1410806081</v>
      </c>
      <c r="H11" s="12" t="str">
        <f>"莊維銘"</f>
        <v>莊維銘</v>
      </c>
      <c r="I11" s="6" t="s">
        <v>8</v>
      </c>
      <c r="J11" s="8"/>
    </row>
    <row r="12" spans="1:10" x14ac:dyDescent="0.3">
      <c r="A12" s="5" t="s">
        <v>13</v>
      </c>
      <c r="B12" s="5" t="s">
        <v>74</v>
      </c>
      <c r="C12" s="12" t="s">
        <v>75</v>
      </c>
      <c r="D12" s="11" t="s">
        <v>119</v>
      </c>
      <c r="F12" s="5" t="str">
        <f t="shared" si="0"/>
        <v>財金三２</v>
      </c>
      <c r="G12" s="5" t="str">
        <f>"1410806086"</f>
        <v>1410806086</v>
      </c>
      <c r="H12" s="12" t="str">
        <f>"邵名嘉"</f>
        <v>邵名嘉</v>
      </c>
      <c r="I12" s="6" t="s">
        <v>8</v>
      </c>
      <c r="J12" s="7"/>
    </row>
    <row r="13" spans="1:10" x14ac:dyDescent="0.3">
      <c r="A13" s="5" t="s">
        <v>13</v>
      </c>
      <c r="B13" s="5" t="s">
        <v>80</v>
      </c>
      <c r="C13" s="12" t="s">
        <v>81</v>
      </c>
      <c r="D13" s="11" t="s">
        <v>119</v>
      </c>
      <c r="F13" s="5" t="str">
        <f t="shared" si="0"/>
        <v>財金三２</v>
      </c>
      <c r="G13" s="5" t="str">
        <f>"1410806089"</f>
        <v>1410806089</v>
      </c>
      <c r="H13" s="12" t="str">
        <f>"陳智翔"</f>
        <v>陳智翔</v>
      </c>
      <c r="I13" s="6" t="s">
        <v>8</v>
      </c>
      <c r="J13" s="8"/>
    </row>
    <row r="14" spans="1:10" x14ac:dyDescent="0.3">
      <c r="A14" s="5" t="s">
        <v>13</v>
      </c>
      <c r="B14" s="5" t="s">
        <v>28</v>
      </c>
      <c r="C14" s="12" t="s">
        <v>29</v>
      </c>
      <c r="D14" s="11" t="s">
        <v>129</v>
      </c>
      <c r="F14" s="5" t="str">
        <f t="shared" si="0"/>
        <v>財金三２</v>
      </c>
      <c r="G14" s="5" t="str">
        <f>"1410806091"</f>
        <v>1410806091</v>
      </c>
      <c r="H14" s="12" t="str">
        <f>"黃慶洲"</f>
        <v>黃慶洲</v>
      </c>
      <c r="I14" s="6" t="s">
        <v>8</v>
      </c>
      <c r="J14" s="7"/>
    </row>
    <row r="15" spans="1:10" x14ac:dyDescent="0.3">
      <c r="A15" s="5" t="s">
        <v>13</v>
      </c>
      <c r="B15" s="5" t="s">
        <v>36</v>
      </c>
      <c r="C15" s="12" t="s">
        <v>37</v>
      </c>
      <c r="D15" s="11" t="s">
        <v>129</v>
      </c>
      <c r="F15" s="5" t="str">
        <f t="shared" si="0"/>
        <v>財金三２</v>
      </c>
      <c r="G15" s="5" t="str">
        <f>"1410806047"</f>
        <v>1410806047</v>
      </c>
      <c r="H15" s="12" t="str">
        <f>"林思均"</f>
        <v>林思均</v>
      </c>
      <c r="I15" s="11" t="s">
        <v>10</v>
      </c>
      <c r="J15" s="8"/>
    </row>
    <row r="16" spans="1:10" x14ac:dyDescent="0.3">
      <c r="A16" s="5" t="s">
        <v>13</v>
      </c>
      <c r="B16" s="5" t="s">
        <v>44</v>
      </c>
      <c r="C16" s="12" t="s">
        <v>45</v>
      </c>
      <c r="D16" s="11" t="s">
        <v>129</v>
      </c>
      <c r="F16" s="5" t="str">
        <f t="shared" si="0"/>
        <v>財金三２</v>
      </c>
      <c r="G16" s="5" t="str">
        <f>"1410806051"</f>
        <v>1410806051</v>
      </c>
      <c r="H16" s="12" t="str">
        <f>"吳盈萱"</f>
        <v>吳盈萱</v>
      </c>
      <c r="I16" s="11" t="s">
        <v>10</v>
      </c>
      <c r="J16" s="8"/>
    </row>
    <row r="17" spans="1:10" x14ac:dyDescent="0.3">
      <c r="A17" s="5" t="s">
        <v>13</v>
      </c>
      <c r="B17" s="5" t="s">
        <v>48</v>
      </c>
      <c r="C17" s="12" t="s">
        <v>49</v>
      </c>
      <c r="D17" s="11" t="s">
        <v>129</v>
      </c>
      <c r="F17" s="5" t="str">
        <f t="shared" si="0"/>
        <v>財金三２</v>
      </c>
      <c r="G17" s="5" t="str">
        <f>"1410806054"</f>
        <v>1410806054</v>
      </c>
      <c r="H17" s="12" t="str">
        <f>"林怡妘"</f>
        <v>林怡妘</v>
      </c>
      <c r="I17" s="11" t="s">
        <v>10</v>
      </c>
      <c r="J17" s="7"/>
    </row>
    <row r="18" spans="1:10" x14ac:dyDescent="0.3">
      <c r="A18" s="5" t="s">
        <v>13</v>
      </c>
      <c r="B18" s="5" t="s">
        <v>70</v>
      </c>
      <c r="C18" s="12" t="s">
        <v>71</v>
      </c>
      <c r="D18" s="11" t="s">
        <v>129</v>
      </c>
      <c r="F18" s="5" t="str">
        <f t="shared" si="0"/>
        <v>財金三２</v>
      </c>
      <c r="G18" s="5" t="str">
        <f>"1410806055"</f>
        <v>1410806055</v>
      </c>
      <c r="H18" s="12" t="str">
        <f>"姚又瑄"</f>
        <v>姚又瑄</v>
      </c>
      <c r="I18" s="11" t="s">
        <v>10</v>
      </c>
      <c r="J18" s="7"/>
    </row>
    <row r="19" spans="1:10" x14ac:dyDescent="0.3">
      <c r="A19" s="5" t="s">
        <v>13</v>
      </c>
      <c r="B19" s="5" t="s">
        <v>18</v>
      </c>
      <c r="C19" s="12" t="s">
        <v>19</v>
      </c>
      <c r="D19" s="11" t="s">
        <v>11</v>
      </c>
      <c r="F19" s="5" t="str">
        <f t="shared" si="0"/>
        <v>財金三２</v>
      </c>
      <c r="G19" s="5" t="str">
        <f>"1410806068"</f>
        <v>1410806068</v>
      </c>
      <c r="H19" s="12" t="str">
        <f>"王翊玟"</f>
        <v>王翊玟</v>
      </c>
      <c r="I19" s="11" t="s">
        <v>10</v>
      </c>
      <c r="J19" s="8"/>
    </row>
    <row r="20" spans="1:10" x14ac:dyDescent="0.3">
      <c r="A20" s="5" t="s">
        <v>13</v>
      </c>
      <c r="B20" s="5" t="s">
        <v>26</v>
      </c>
      <c r="C20" s="12" t="s">
        <v>27</v>
      </c>
      <c r="D20" s="11" t="s">
        <v>11</v>
      </c>
      <c r="F20" s="5" t="str">
        <f t="shared" si="0"/>
        <v>財金三２</v>
      </c>
      <c r="G20" s="5" t="str">
        <f>"1410806053"</f>
        <v>1410806053</v>
      </c>
      <c r="H20" s="12" t="str">
        <f>"李昀珊"</f>
        <v>李昀珊</v>
      </c>
      <c r="I20" s="11" t="s">
        <v>135</v>
      </c>
      <c r="J20" s="10"/>
    </row>
    <row r="21" spans="1:10" x14ac:dyDescent="0.3">
      <c r="A21" s="5" t="s">
        <v>13</v>
      </c>
      <c r="B21" s="5" t="s">
        <v>64</v>
      </c>
      <c r="C21" s="12" t="s">
        <v>65</v>
      </c>
      <c r="D21" s="11" t="s">
        <v>11</v>
      </c>
      <c r="F21" s="5" t="str">
        <f t="shared" si="0"/>
        <v>財金三２</v>
      </c>
      <c r="G21" s="5" t="str">
        <f>"1410806062"</f>
        <v>1410806062</v>
      </c>
      <c r="H21" s="12" t="str">
        <f>"詹芷瑜"</f>
        <v>詹芷瑜</v>
      </c>
      <c r="I21" s="11" t="s">
        <v>135</v>
      </c>
      <c r="J21" s="10"/>
    </row>
    <row r="22" spans="1:10" x14ac:dyDescent="0.3">
      <c r="A22" s="5" t="s">
        <v>13</v>
      </c>
      <c r="B22" s="5" t="s">
        <v>89</v>
      </c>
      <c r="C22" s="12" t="s">
        <v>90</v>
      </c>
      <c r="D22" s="11" t="s">
        <v>11</v>
      </c>
      <c r="F22" s="5" t="str">
        <f t="shared" si="0"/>
        <v>財金三２</v>
      </c>
      <c r="G22" s="5" t="str">
        <f>"1410806069"</f>
        <v>1410806069</v>
      </c>
      <c r="H22" s="12" t="str">
        <f>"石若彣"</f>
        <v>石若彣</v>
      </c>
      <c r="I22" s="11" t="s">
        <v>135</v>
      </c>
    </row>
    <row r="23" spans="1:10" x14ac:dyDescent="0.3">
      <c r="A23" s="5" t="s">
        <v>13</v>
      </c>
      <c r="B23" s="5" t="s">
        <v>111</v>
      </c>
      <c r="C23" s="12" t="s">
        <v>112</v>
      </c>
      <c r="D23" s="11" t="s">
        <v>11</v>
      </c>
      <c r="F23" s="5" t="str">
        <f t="shared" si="0"/>
        <v>財金三２</v>
      </c>
      <c r="G23" s="5" t="str">
        <f>"1410806075"</f>
        <v>1410806075</v>
      </c>
      <c r="H23" s="12" t="str">
        <f>"傅雅琴"</f>
        <v>傅雅琴</v>
      </c>
      <c r="I23" s="11" t="s">
        <v>135</v>
      </c>
    </row>
    <row r="24" spans="1:10" x14ac:dyDescent="0.3">
      <c r="A24" s="5" t="s">
        <v>13</v>
      </c>
      <c r="B24" s="5" t="s">
        <v>34</v>
      </c>
      <c r="C24" s="12" t="s">
        <v>35</v>
      </c>
      <c r="D24" s="11" t="s">
        <v>4</v>
      </c>
      <c r="F24" s="5" t="str">
        <f t="shared" si="0"/>
        <v>財金三２</v>
      </c>
      <c r="G24" s="5" t="str">
        <f>"1410806080"</f>
        <v>1410806080</v>
      </c>
      <c r="H24" s="12" t="str">
        <f>"洪證淇"</f>
        <v>洪證淇</v>
      </c>
      <c r="I24" s="11" t="s">
        <v>131</v>
      </c>
    </row>
    <row r="25" spans="1:10" x14ac:dyDescent="0.3">
      <c r="A25" s="5" t="s">
        <v>13</v>
      </c>
      <c r="B25" s="5" t="s">
        <v>42</v>
      </c>
      <c r="C25" s="12" t="s">
        <v>43</v>
      </c>
      <c r="D25" s="11" t="s">
        <v>4</v>
      </c>
      <c r="F25" s="5" t="str">
        <f t="shared" si="0"/>
        <v>財金三２</v>
      </c>
      <c r="G25" s="5" t="str">
        <f>"1410806082"</f>
        <v>1410806082</v>
      </c>
      <c r="H25" s="12" t="str">
        <f>"許躍騰"</f>
        <v>許躍騰</v>
      </c>
      <c r="I25" s="11" t="s">
        <v>131</v>
      </c>
    </row>
    <row r="26" spans="1:10" x14ac:dyDescent="0.3">
      <c r="A26" s="5" t="s">
        <v>13</v>
      </c>
      <c r="B26" s="5" t="s">
        <v>46</v>
      </c>
      <c r="C26" s="12" t="s">
        <v>47</v>
      </c>
      <c r="D26" s="11" t="s">
        <v>4</v>
      </c>
      <c r="F26" s="5" t="str">
        <f t="shared" si="0"/>
        <v>財金三２</v>
      </c>
      <c r="G26" s="5" t="str">
        <f>"1410806083"</f>
        <v>1410806083</v>
      </c>
      <c r="H26" s="12" t="str">
        <f>"賴冠順"</f>
        <v>賴冠順</v>
      </c>
      <c r="I26" s="11" t="s">
        <v>131</v>
      </c>
    </row>
    <row r="27" spans="1:10" x14ac:dyDescent="0.3">
      <c r="A27" s="5" t="s">
        <v>13</v>
      </c>
      <c r="B27" s="5" t="s">
        <v>60</v>
      </c>
      <c r="C27" s="12" t="s">
        <v>61</v>
      </c>
      <c r="D27" s="11" t="s">
        <v>4</v>
      </c>
      <c r="F27" s="5" t="str">
        <f t="shared" si="0"/>
        <v>財金三２</v>
      </c>
      <c r="G27" s="5" t="str">
        <f>"1410806084"</f>
        <v>1410806084</v>
      </c>
      <c r="H27" s="12" t="str">
        <f>"王聖齊"</f>
        <v>王聖齊</v>
      </c>
      <c r="I27" s="11" t="s">
        <v>131</v>
      </c>
    </row>
    <row r="28" spans="1:10" x14ac:dyDescent="0.3">
      <c r="A28" s="5" t="s">
        <v>13</v>
      </c>
      <c r="B28" s="5" t="s">
        <v>68</v>
      </c>
      <c r="C28" s="12" t="s">
        <v>69</v>
      </c>
      <c r="D28" s="11" t="s">
        <v>4</v>
      </c>
      <c r="F28" s="5" t="str">
        <f t="shared" si="0"/>
        <v>財金三２</v>
      </c>
      <c r="G28" s="5" t="str">
        <f>"1410806088"</f>
        <v>1410806088</v>
      </c>
      <c r="H28" s="12" t="str">
        <f>"許家源"</f>
        <v>許家源</v>
      </c>
      <c r="I28" s="11" t="s">
        <v>131</v>
      </c>
    </row>
    <row r="29" spans="1:10" x14ac:dyDescent="0.3">
      <c r="A29" s="5" t="s">
        <v>13</v>
      </c>
      <c r="B29" s="5" t="s">
        <v>91</v>
      </c>
      <c r="C29" s="12" t="s">
        <v>92</v>
      </c>
      <c r="D29" s="11" t="s">
        <v>128</v>
      </c>
      <c r="F29" s="5" t="str">
        <f t="shared" si="0"/>
        <v>財金三２</v>
      </c>
      <c r="G29" s="5" t="str">
        <f>"1410806090"</f>
        <v>1410806090</v>
      </c>
      <c r="H29" s="12" t="str">
        <f>"黃家保"</f>
        <v>黃家保</v>
      </c>
      <c r="I29" s="11" t="s">
        <v>131</v>
      </c>
    </row>
    <row r="30" spans="1:10" x14ac:dyDescent="0.3">
      <c r="A30" s="5" t="s">
        <v>13</v>
      </c>
      <c r="B30" s="5" t="s">
        <v>93</v>
      </c>
      <c r="C30" s="12" t="s">
        <v>94</v>
      </c>
      <c r="D30" s="11" t="s">
        <v>128</v>
      </c>
      <c r="F30" s="5" t="str">
        <f t="shared" si="0"/>
        <v>財金三２</v>
      </c>
      <c r="G30" s="5" t="str">
        <f>"1410806052"</f>
        <v>1410806052</v>
      </c>
      <c r="H30" s="12" t="str">
        <f>"宋雁荻"</f>
        <v>宋雁荻</v>
      </c>
      <c r="I30" s="11" t="s">
        <v>120</v>
      </c>
    </row>
    <row r="31" spans="1:10" x14ac:dyDescent="0.3">
      <c r="A31" s="5" t="s">
        <v>13</v>
      </c>
      <c r="B31" s="5" t="s">
        <v>105</v>
      </c>
      <c r="C31" s="12" t="s">
        <v>106</v>
      </c>
      <c r="D31" s="11" t="s">
        <v>128</v>
      </c>
      <c r="F31" s="5" t="str">
        <f t="shared" si="0"/>
        <v>財金三２</v>
      </c>
      <c r="G31" s="5" t="str">
        <f>"1410806065"</f>
        <v>1410806065</v>
      </c>
      <c r="H31" s="12" t="str">
        <f>"戴宏貞"</f>
        <v>戴宏貞</v>
      </c>
      <c r="I31" s="11" t="s">
        <v>120</v>
      </c>
    </row>
    <row r="32" spans="1:10" x14ac:dyDescent="0.3">
      <c r="A32" s="5" t="s">
        <v>13</v>
      </c>
      <c r="B32" s="5" t="s">
        <v>107</v>
      </c>
      <c r="C32" s="12" t="s">
        <v>108</v>
      </c>
      <c r="D32" s="11" t="s">
        <v>128</v>
      </c>
      <c r="F32" s="5" t="str">
        <f t="shared" si="0"/>
        <v>財金三２</v>
      </c>
      <c r="G32" s="5" t="str">
        <f>"1410806079"</f>
        <v>1410806079</v>
      </c>
      <c r="H32" s="12" t="str">
        <f>"王傳硯"</f>
        <v>王傳硯</v>
      </c>
      <c r="I32" s="11" t="s">
        <v>120</v>
      </c>
    </row>
    <row r="33" spans="1:10" x14ac:dyDescent="0.3">
      <c r="A33" s="5" t="s">
        <v>13</v>
      </c>
      <c r="B33" s="5" t="s">
        <v>22</v>
      </c>
      <c r="C33" s="12" t="s">
        <v>23</v>
      </c>
      <c r="D33" s="11" t="s">
        <v>5</v>
      </c>
      <c r="F33" s="5" t="str">
        <f t="shared" si="0"/>
        <v>財金三２</v>
      </c>
      <c r="G33" s="5" t="str">
        <f>"1410806085"</f>
        <v>1410806085</v>
      </c>
      <c r="H33" s="12" t="str">
        <f>"李浩宇"</f>
        <v>李浩宇</v>
      </c>
      <c r="I33" s="11" t="s">
        <v>120</v>
      </c>
    </row>
    <row r="34" spans="1:10" x14ac:dyDescent="0.3">
      <c r="A34" s="5" t="s">
        <v>13</v>
      </c>
      <c r="B34" s="5" t="s">
        <v>38</v>
      </c>
      <c r="C34" s="12" t="s">
        <v>39</v>
      </c>
      <c r="D34" s="11" t="s">
        <v>5</v>
      </c>
      <c r="F34" s="5" t="str">
        <f t="shared" si="0"/>
        <v>財金三２</v>
      </c>
      <c r="G34" s="5" t="str">
        <f>"1410806087"</f>
        <v>1410806087</v>
      </c>
      <c r="H34" s="12" t="str">
        <f>"張翔堉"</f>
        <v>張翔堉</v>
      </c>
      <c r="I34" s="11" t="s">
        <v>120</v>
      </c>
    </row>
    <row r="35" spans="1:10" x14ac:dyDescent="0.3">
      <c r="A35" s="5" t="s">
        <v>13</v>
      </c>
      <c r="B35" s="5" t="s">
        <v>40</v>
      </c>
      <c r="C35" s="12" t="s">
        <v>41</v>
      </c>
      <c r="D35" s="11" t="s">
        <v>5</v>
      </c>
      <c r="F35" s="5" t="str">
        <f t="shared" si="0"/>
        <v>財金三２</v>
      </c>
      <c r="G35" s="5" t="str">
        <f>"1410806048"</f>
        <v>1410806048</v>
      </c>
      <c r="H35" s="12" t="str">
        <f>"許晏禎"</f>
        <v>許晏禎</v>
      </c>
      <c r="I35" s="11" t="s">
        <v>130</v>
      </c>
    </row>
    <row r="36" spans="1:10" x14ac:dyDescent="0.3">
      <c r="A36" s="5" t="s">
        <v>13</v>
      </c>
      <c r="B36" s="5" t="s">
        <v>78</v>
      </c>
      <c r="C36" s="12" t="s">
        <v>79</v>
      </c>
      <c r="D36" s="11" t="s">
        <v>5</v>
      </c>
      <c r="F36" s="5" t="str">
        <f t="shared" si="0"/>
        <v>財金三２</v>
      </c>
      <c r="G36" s="5" t="str">
        <f>"1410806049"</f>
        <v>1410806049</v>
      </c>
      <c r="H36" s="12" t="str">
        <f>"賴宣涵"</f>
        <v>賴宣涵</v>
      </c>
      <c r="I36" s="11" t="s">
        <v>130</v>
      </c>
    </row>
    <row r="37" spans="1:10" x14ac:dyDescent="0.3">
      <c r="A37" s="5" t="s">
        <v>13</v>
      </c>
      <c r="B37" s="5" t="s">
        <v>82</v>
      </c>
      <c r="C37" s="12" t="s">
        <v>83</v>
      </c>
      <c r="D37" s="11" t="s">
        <v>12</v>
      </c>
      <c r="F37" s="5" t="str">
        <f t="shared" si="0"/>
        <v>財金三２</v>
      </c>
      <c r="G37" s="5" t="str">
        <f>"1410806061"</f>
        <v>1410806061</v>
      </c>
      <c r="H37" s="12" t="str">
        <f>"黃莘雅"</f>
        <v>黃莘雅</v>
      </c>
      <c r="I37" s="11" t="s">
        <v>130</v>
      </c>
    </row>
    <row r="38" spans="1:10" x14ac:dyDescent="0.3">
      <c r="A38" s="5" t="s">
        <v>13</v>
      </c>
      <c r="B38" s="5" t="s">
        <v>95</v>
      </c>
      <c r="C38" s="12" t="s">
        <v>96</v>
      </c>
      <c r="D38" s="11" t="s">
        <v>12</v>
      </c>
      <c r="F38" s="5" t="str">
        <f t="shared" si="0"/>
        <v>財金三２</v>
      </c>
      <c r="G38" s="5" t="str">
        <f>"1410806070"</f>
        <v>1410806070</v>
      </c>
      <c r="H38" s="12" t="str">
        <f>"周宥妘"</f>
        <v>周宥妘</v>
      </c>
      <c r="I38" s="11" t="s">
        <v>130</v>
      </c>
    </row>
    <row r="39" spans="1:10" x14ac:dyDescent="0.3">
      <c r="A39" s="5" t="s">
        <v>13</v>
      </c>
      <c r="B39" s="5" t="s">
        <v>101</v>
      </c>
      <c r="C39" s="12" t="s">
        <v>102</v>
      </c>
      <c r="D39" s="11" t="s">
        <v>12</v>
      </c>
      <c r="F39" s="5" t="str">
        <f t="shared" si="0"/>
        <v>財金三２</v>
      </c>
      <c r="G39" s="5" t="str">
        <f>"1410806078"</f>
        <v>1410806078</v>
      </c>
      <c r="H39" s="12" t="str">
        <f>"劉佳瑄"</f>
        <v>劉佳瑄</v>
      </c>
      <c r="I39" s="11" t="s">
        <v>130</v>
      </c>
    </row>
    <row r="40" spans="1:10" x14ac:dyDescent="0.3">
      <c r="A40" s="5" t="s">
        <v>13</v>
      </c>
      <c r="B40" s="5" t="s">
        <v>103</v>
      </c>
      <c r="C40" s="12" t="s">
        <v>104</v>
      </c>
      <c r="D40" s="11" t="s">
        <v>12</v>
      </c>
      <c r="F40" s="5" t="str">
        <f t="shared" si="0"/>
        <v>財金三２</v>
      </c>
      <c r="G40" s="5" t="str">
        <f>"1410806096"</f>
        <v>1410806096</v>
      </c>
      <c r="H40" s="12" t="str">
        <f>"范蔆玲"</f>
        <v>范蔆玲</v>
      </c>
      <c r="I40" s="11" t="s">
        <v>130</v>
      </c>
    </row>
    <row r="41" spans="1:10" x14ac:dyDescent="0.3">
      <c r="A41" s="5" t="s">
        <v>13</v>
      </c>
      <c r="B41" s="5" t="s">
        <v>24</v>
      </c>
      <c r="C41" s="12" t="s">
        <v>25</v>
      </c>
      <c r="D41" s="11" t="s">
        <v>9</v>
      </c>
      <c r="F41" s="5" t="str">
        <f t="shared" si="0"/>
        <v>財金三２</v>
      </c>
      <c r="G41" s="5" t="str">
        <f>"1410806050"</f>
        <v>1410806050</v>
      </c>
      <c r="H41" s="12" t="str">
        <f>"石旻昕"</f>
        <v>石旻昕</v>
      </c>
      <c r="I41" s="6" t="s">
        <v>141</v>
      </c>
      <c r="J41" s="1" t="s">
        <v>139</v>
      </c>
    </row>
    <row r="42" spans="1:10" x14ac:dyDescent="0.3">
      <c r="A42" s="5" t="s">
        <v>13</v>
      </c>
      <c r="B42" s="5" t="s">
        <v>52</v>
      </c>
      <c r="C42" s="12" t="s">
        <v>53</v>
      </c>
      <c r="D42" s="11" t="s">
        <v>9</v>
      </c>
      <c r="F42" s="5" t="str">
        <f t="shared" si="0"/>
        <v>財金三２</v>
      </c>
      <c r="G42" s="5" t="str">
        <f>"1410806058"</f>
        <v>1410806058</v>
      </c>
      <c r="H42" s="12" t="str">
        <f>"陳玉芳"</f>
        <v>陳玉芳</v>
      </c>
      <c r="I42" s="6" t="s">
        <v>141</v>
      </c>
      <c r="J42" s="1" t="s">
        <v>139</v>
      </c>
    </row>
    <row r="43" spans="1:10" x14ac:dyDescent="0.3">
      <c r="A43" s="5" t="s">
        <v>13</v>
      </c>
      <c r="B43" s="5" t="s">
        <v>58</v>
      </c>
      <c r="C43" s="12" t="s">
        <v>59</v>
      </c>
      <c r="D43" s="11" t="s">
        <v>9</v>
      </c>
      <c r="F43" s="5" t="str">
        <f t="shared" si="0"/>
        <v>財金三２</v>
      </c>
      <c r="G43" s="5" t="str">
        <f>"1410806063"</f>
        <v>1410806063</v>
      </c>
      <c r="H43" s="12" t="str">
        <f>"蔡旻芩"</f>
        <v>蔡旻芩</v>
      </c>
      <c r="I43" s="6" t="s">
        <v>141</v>
      </c>
      <c r="J43" s="1" t="s">
        <v>139</v>
      </c>
    </row>
    <row r="44" spans="1:10" x14ac:dyDescent="0.3">
      <c r="A44" s="5" t="s">
        <v>13</v>
      </c>
      <c r="B44" s="5" t="s">
        <v>76</v>
      </c>
      <c r="C44" s="12" t="s">
        <v>77</v>
      </c>
      <c r="D44" s="11" t="s">
        <v>9</v>
      </c>
      <c r="F44" s="5" t="str">
        <f t="shared" si="0"/>
        <v>財金三２</v>
      </c>
      <c r="G44" s="5" t="str">
        <f>"1410806071"</f>
        <v>1410806071</v>
      </c>
      <c r="H44" s="12" t="str">
        <f>"林佩諭"</f>
        <v>林佩諭</v>
      </c>
      <c r="I44" s="6" t="s">
        <v>141</v>
      </c>
      <c r="J44" s="1" t="s">
        <v>139</v>
      </c>
    </row>
    <row r="45" spans="1:10" x14ac:dyDescent="0.3">
      <c r="A45" s="5" t="s">
        <v>13</v>
      </c>
      <c r="B45" s="5" t="s">
        <v>16</v>
      </c>
      <c r="C45" s="12" t="s">
        <v>17</v>
      </c>
      <c r="D45" s="11" t="s">
        <v>127</v>
      </c>
      <c r="F45" s="5" t="str">
        <f t="shared" si="0"/>
        <v>財金三２</v>
      </c>
      <c r="G45" s="5" t="str">
        <f>"1410806097"</f>
        <v>1410806097</v>
      </c>
      <c r="H45" s="13" t="str">
        <f>"許少瑜"</f>
        <v>許少瑜</v>
      </c>
      <c r="I45" s="6" t="s">
        <v>141</v>
      </c>
      <c r="J45" s="1" t="s">
        <v>139</v>
      </c>
    </row>
    <row r="46" spans="1:10" x14ac:dyDescent="0.3">
      <c r="A46" s="5" t="s">
        <v>13</v>
      </c>
      <c r="B46" s="5" t="s">
        <v>20</v>
      </c>
      <c r="C46" s="12" t="s">
        <v>21</v>
      </c>
      <c r="D46" s="11" t="s">
        <v>127</v>
      </c>
      <c r="F46" s="5" t="str">
        <f t="shared" si="0"/>
        <v>財金三２</v>
      </c>
      <c r="G46" s="5" t="str">
        <f>"1410806073"</f>
        <v>1410806073</v>
      </c>
      <c r="H46" s="12" t="str">
        <f>"張蕙讌"</f>
        <v>張蕙讌</v>
      </c>
      <c r="I46" s="6" t="s">
        <v>142</v>
      </c>
      <c r="J46" s="1" t="s">
        <v>138</v>
      </c>
    </row>
    <row r="47" spans="1:10" x14ac:dyDescent="0.3">
      <c r="A47" s="5" t="s">
        <v>13</v>
      </c>
      <c r="B47" s="5" t="s">
        <v>87</v>
      </c>
      <c r="C47" s="12" t="s">
        <v>88</v>
      </c>
      <c r="D47" s="11" t="s">
        <v>127</v>
      </c>
      <c r="F47" s="5" t="str">
        <f t="shared" si="0"/>
        <v>財金三２</v>
      </c>
      <c r="G47" s="5" t="str">
        <f>"1410806094"</f>
        <v>1410806094</v>
      </c>
      <c r="H47" s="12" t="str">
        <f>"鄧金英"</f>
        <v>鄧金英</v>
      </c>
      <c r="I47" s="6" t="s">
        <v>142</v>
      </c>
      <c r="J47" s="1" t="s">
        <v>138</v>
      </c>
    </row>
    <row r="48" spans="1:10" x14ac:dyDescent="0.3">
      <c r="A48" s="5" t="s">
        <v>13</v>
      </c>
      <c r="B48" s="5" t="s">
        <v>97</v>
      </c>
      <c r="C48" s="12" t="s">
        <v>98</v>
      </c>
      <c r="D48" s="11" t="s">
        <v>127</v>
      </c>
      <c r="F48" s="5" t="str">
        <f t="shared" si="0"/>
        <v>財金三２</v>
      </c>
      <c r="G48" s="5" t="str">
        <f>"1410806095"</f>
        <v>1410806095</v>
      </c>
      <c r="H48" s="12" t="str">
        <f>"佘欣潓"</f>
        <v>佘欣潓</v>
      </c>
      <c r="I48" s="6" t="s">
        <v>142</v>
      </c>
      <c r="J48" s="1" t="s">
        <v>138</v>
      </c>
    </row>
    <row r="49" spans="1:10" x14ac:dyDescent="0.3">
      <c r="A49" s="5" t="s">
        <v>13</v>
      </c>
      <c r="B49" s="5" t="s">
        <v>99</v>
      </c>
      <c r="C49" s="12" t="s">
        <v>100</v>
      </c>
      <c r="D49" s="11" t="s">
        <v>127</v>
      </c>
      <c r="F49" s="5" t="str">
        <f t="shared" si="0"/>
        <v>財金三２</v>
      </c>
      <c r="G49" s="5" t="str">
        <f>"1410806098"</f>
        <v>1410806098</v>
      </c>
      <c r="H49" s="12" t="str">
        <f>"林嘉鴻"</f>
        <v>林嘉鴻</v>
      </c>
      <c r="I49" s="6" t="s">
        <v>142</v>
      </c>
      <c r="J49" s="1" t="s">
        <v>138</v>
      </c>
    </row>
    <row r="50" spans="1:10" x14ac:dyDescent="0.3">
      <c r="A50" s="18" t="s">
        <v>13</v>
      </c>
      <c r="B50" s="18">
        <v>1410706035</v>
      </c>
      <c r="C50" s="19" t="s">
        <v>15</v>
      </c>
      <c r="D50" s="20" t="s">
        <v>140</v>
      </c>
    </row>
    <row r="51" spans="1:10" x14ac:dyDescent="0.3">
      <c r="A51" s="5" t="s">
        <v>13</v>
      </c>
      <c r="B51" s="5">
        <v>1410806035</v>
      </c>
      <c r="C51" s="12" t="s">
        <v>136</v>
      </c>
      <c r="D51" s="6"/>
    </row>
  </sheetData>
  <sortState ref="E2:H51">
    <sortCondition ref="H2:H5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7" zoomScale="110" zoomScaleNormal="110" workbookViewId="0">
      <selection activeCell="K53" sqref="K53"/>
    </sheetView>
  </sheetViews>
  <sheetFormatPr defaultRowHeight="18" x14ac:dyDescent="0.3"/>
  <cols>
    <col min="1" max="1" width="12.33203125" style="1" bestFit="1" customWidth="1"/>
    <col min="2" max="2" width="17.33203125" style="1" bestFit="1" customWidth="1"/>
    <col min="3" max="3" width="9.5546875" style="16" bestFit="1" customWidth="1"/>
    <col min="4" max="4" width="19.21875" style="16" bestFit="1" customWidth="1"/>
    <col min="5" max="5" width="4" style="16" hidden="1" customWidth="1"/>
    <col min="6" max="6" width="10.44140625" style="16" hidden="1" customWidth="1"/>
    <col min="7" max="7" width="14.109375" style="16" hidden="1" customWidth="1"/>
    <col min="8" max="8" width="8.21875" style="16" bestFit="1" customWidth="1"/>
    <col min="9" max="9" width="9.5546875" style="1" bestFit="1" customWidth="1"/>
    <col min="10" max="10" width="12.33203125" style="1" bestFit="1" customWidth="1"/>
    <col min="11" max="11" width="17.33203125" style="16" bestFit="1" customWidth="1"/>
    <col min="12" max="12" width="9.5546875" style="16" bestFit="1" customWidth="1"/>
    <col min="13" max="13" width="19.21875" style="1" bestFit="1" customWidth="1"/>
    <col min="14" max="14" width="2.77734375" style="1" hidden="1" customWidth="1"/>
    <col min="15" max="15" width="10.44140625" style="1" hidden="1" customWidth="1"/>
    <col min="16" max="16" width="14.109375" style="1" hidden="1" customWidth="1"/>
    <col min="17" max="17" width="8.21875" style="1" bestFit="1" customWidth="1"/>
    <col min="18" max="16384" width="8.88671875" style="1"/>
  </cols>
  <sheetData>
    <row r="1" spans="1:17" x14ac:dyDescent="0.3">
      <c r="A1" s="2" t="s">
        <v>0</v>
      </c>
      <c r="B1" s="3" t="s">
        <v>1</v>
      </c>
      <c r="C1" s="2" t="s">
        <v>2</v>
      </c>
      <c r="D1" s="25" t="s">
        <v>3</v>
      </c>
      <c r="E1" s="4"/>
      <c r="F1" s="4"/>
      <c r="G1" s="4"/>
      <c r="H1" s="4"/>
      <c r="J1" s="2" t="s">
        <v>0</v>
      </c>
      <c r="K1" s="3" t="s">
        <v>1</v>
      </c>
      <c r="L1" s="2" t="s">
        <v>2</v>
      </c>
      <c r="M1" s="25" t="s">
        <v>3</v>
      </c>
      <c r="N1" s="26"/>
      <c r="O1" s="26"/>
      <c r="P1" s="26"/>
      <c r="Q1" s="26"/>
    </row>
    <row r="2" spans="1:17" x14ac:dyDescent="0.3">
      <c r="A2" s="5" t="s">
        <v>13</v>
      </c>
      <c r="B2" s="5" t="s">
        <v>30</v>
      </c>
      <c r="C2" s="12" t="s">
        <v>31</v>
      </c>
      <c r="D2" s="21" t="s">
        <v>170</v>
      </c>
      <c r="E2" s="22">
        <v>1</v>
      </c>
      <c r="F2" s="22" t="s">
        <v>144</v>
      </c>
      <c r="G2" s="22">
        <v>1410806008</v>
      </c>
      <c r="H2" s="22" t="s">
        <v>31</v>
      </c>
      <c r="J2" s="5" t="str">
        <f t="shared" ref="J2:J49" si="0">"財金三２"</f>
        <v>財金三２</v>
      </c>
      <c r="K2" s="5" t="str">
        <f>"1410806056"</f>
        <v>1410806056</v>
      </c>
      <c r="L2" s="12" t="str">
        <f>"張耘甄"</f>
        <v>張耘甄</v>
      </c>
      <c r="M2" s="21" t="s">
        <v>175</v>
      </c>
      <c r="N2" s="22">
        <v>1</v>
      </c>
      <c r="O2" s="22" t="s">
        <v>145</v>
      </c>
      <c r="P2" s="22">
        <v>1410806056</v>
      </c>
      <c r="Q2" s="22" t="s">
        <v>194</v>
      </c>
    </row>
    <row r="3" spans="1:17" x14ac:dyDescent="0.3">
      <c r="A3" s="5" t="s">
        <v>13</v>
      </c>
      <c r="B3" s="5" t="s">
        <v>32</v>
      </c>
      <c r="C3" s="12" t="s">
        <v>33</v>
      </c>
      <c r="D3" s="21" t="s">
        <v>170</v>
      </c>
      <c r="E3" s="22">
        <v>2</v>
      </c>
      <c r="F3" s="22" t="s">
        <v>144</v>
      </c>
      <c r="G3" s="22">
        <v>1410806009</v>
      </c>
      <c r="H3" s="22" t="s">
        <v>33</v>
      </c>
      <c r="J3" s="5" t="str">
        <f t="shared" si="0"/>
        <v>財金三２</v>
      </c>
      <c r="K3" s="5" t="str">
        <f>"1410806057"</f>
        <v>1410806057</v>
      </c>
      <c r="L3" s="12" t="str">
        <f>"莊詠婕"</f>
        <v>莊詠婕</v>
      </c>
      <c r="M3" s="21" t="s">
        <v>175</v>
      </c>
      <c r="N3" s="22">
        <v>2</v>
      </c>
      <c r="O3" s="22" t="s">
        <v>145</v>
      </c>
      <c r="P3" s="22">
        <v>1410806057</v>
      </c>
      <c r="Q3" s="22" t="s">
        <v>195</v>
      </c>
    </row>
    <row r="4" spans="1:17" x14ac:dyDescent="0.3">
      <c r="A4" s="5" t="s">
        <v>13</v>
      </c>
      <c r="B4" s="5" t="s">
        <v>50</v>
      </c>
      <c r="C4" s="12" t="s">
        <v>51</v>
      </c>
      <c r="D4" s="21" t="s">
        <v>170</v>
      </c>
      <c r="E4" s="22">
        <v>3</v>
      </c>
      <c r="F4" s="22" t="s">
        <v>144</v>
      </c>
      <c r="G4" s="22">
        <v>1410806018</v>
      </c>
      <c r="H4" s="22" t="s">
        <v>51</v>
      </c>
      <c r="J4" s="5" t="str">
        <f t="shared" si="0"/>
        <v>財金三２</v>
      </c>
      <c r="K4" s="5" t="str">
        <f>"1410806059"</f>
        <v>1410806059</v>
      </c>
      <c r="L4" s="12" t="str">
        <f>"陳雅琪"</f>
        <v>陳雅琪</v>
      </c>
      <c r="M4" s="21" t="s">
        <v>175</v>
      </c>
      <c r="N4" s="22">
        <v>3</v>
      </c>
      <c r="O4" s="22" t="s">
        <v>145</v>
      </c>
      <c r="P4" s="22">
        <v>1410806059</v>
      </c>
      <c r="Q4" s="22" t="s">
        <v>196</v>
      </c>
    </row>
    <row r="5" spans="1:17" x14ac:dyDescent="0.3">
      <c r="A5" s="5" t="s">
        <v>13</v>
      </c>
      <c r="B5" s="5" t="s">
        <v>54</v>
      </c>
      <c r="C5" s="12" t="s">
        <v>55</v>
      </c>
      <c r="D5" s="21" t="s">
        <v>170</v>
      </c>
      <c r="E5" s="22">
        <v>4</v>
      </c>
      <c r="F5" s="22" t="s">
        <v>144</v>
      </c>
      <c r="G5" s="22">
        <v>1410806020</v>
      </c>
      <c r="H5" s="22" t="s">
        <v>55</v>
      </c>
      <c r="J5" s="5" t="str">
        <f t="shared" si="0"/>
        <v>財金三２</v>
      </c>
      <c r="K5" s="5" t="str">
        <f>"1410806060"</f>
        <v>1410806060</v>
      </c>
      <c r="L5" s="12" t="str">
        <f>"游采霖"</f>
        <v>游采霖</v>
      </c>
      <c r="M5" s="21" t="s">
        <v>175</v>
      </c>
      <c r="N5" s="22">
        <v>4</v>
      </c>
      <c r="O5" s="22" t="s">
        <v>145</v>
      </c>
      <c r="P5" s="22">
        <v>1410806060</v>
      </c>
      <c r="Q5" s="22" t="s">
        <v>197</v>
      </c>
    </row>
    <row r="6" spans="1:17" x14ac:dyDescent="0.3">
      <c r="A6" s="5" t="s">
        <v>13</v>
      </c>
      <c r="B6" s="5" t="s">
        <v>62</v>
      </c>
      <c r="C6" s="12" t="s">
        <v>63</v>
      </c>
      <c r="D6" s="21" t="s">
        <v>170</v>
      </c>
      <c r="E6" s="22">
        <v>5</v>
      </c>
      <c r="F6" s="22" t="s">
        <v>144</v>
      </c>
      <c r="G6" s="22">
        <v>1410806024</v>
      </c>
      <c r="H6" s="22" t="s">
        <v>63</v>
      </c>
      <c r="J6" s="5" t="str">
        <f t="shared" si="0"/>
        <v>財金三２</v>
      </c>
      <c r="K6" s="5" t="str">
        <f>"1410806064"</f>
        <v>1410806064</v>
      </c>
      <c r="L6" s="12" t="str">
        <f>"蔡姄玹"</f>
        <v>蔡姄玹</v>
      </c>
      <c r="M6" s="21" t="s">
        <v>175</v>
      </c>
      <c r="N6" s="22">
        <v>5</v>
      </c>
      <c r="O6" s="22" t="s">
        <v>145</v>
      </c>
      <c r="P6" s="22">
        <v>1410806064</v>
      </c>
      <c r="Q6" s="22" t="s">
        <v>198</v>
      </c>
    </row>
    <row r="7" spans="1:17" x14ac:dyDescent="0.3">
      <c r="A7" s="5" t="s">
        <v>13</v>
      </c>
      <c r="B7" s="5" t="s">
        <v>66</v>
      </c>
      <c r="C7" s="12" t="s">
        <v>67</v>
      </c>
      <c r="D7" s="21" t="s">
        <v>170</v>
      </c>
      <c r="E7" s="22">
        <v>6</v>
      </c>
      <c r="F7" s="22" t="s">
        <v>144</v>
      </c>
      <c r="G7" s="22">
        <v>1410806026</v>
      </c>
      <c r="H7" s="22" t="s">
        <v>67</v>
      </c>
      <c r="J7" s="5" t="str">
        <f t="shared" si="0"/>
        <v>財金三２</v>
      </c>
      <c r="K7" s="5" t="str">
        <f>"1410806066"</f>
        <v>1410806066</v>
      </c>
      <c r="L7" s="12" t="str">
        <f>"謝昀軒"</f>
        <v>謝昀軒</v>
      </c>
      <c r="M7" s="21" t="s">
        <v>175</v>
      </c>
      <c r="N7" s="22">
        <v>6</v>
      </c>
      <c r="O7" s="22" t="s">
        <v>145</v>
      </c>
      <c r="P7" s="22">
        <v>1410806066</v>
      </c>
      <c r="Q7" s="22" t="s">
        <v>199</v>
      </c>
    </row>
    <row r="8" spans="1:17" x14ac:dyDescent="0.3">
      <c r="A8" s="5" t="s">
        <v>13</v>
      </c>
      <c r="B8" s="5" t="s">
        <v>86</v>
      </c>
      <c r="C8" s="12" t="s">
        <v>133</v>
      </c>
      <c r="D8" s="21" t="s">
        <v>170</v>
      </c>
      <c r="E8" s="22">
        <v>7</v>
      </c>
      <c r="F8" s="22" t="s">
        <v>144</v>
      </c>
      <c r="G8" s="22">
        <v>1410806036</v>
      </c>
      <c r="H8" s="22" t="s">
        <v>149</v>
      </c>
      <c r="J8" s="5" t="str">
        <f t="shared" si="0"/>
        <v>財金三２</v>
      </c>
      <c r="K8" s="5" t="str">
        <f>"1410806074"</f>
        <v>1410806074</v>
      </c>
      <c r="L8" s="12" t="str">
        <f>"郭美汎"</f>
        <v>郭美汎</v>
      </c>
      <c r="M8" s="21" t="s">
        <v>175</v>
      </c>
      <c r="N8" s="22">
        <v>7</v>
      </c>
      <c r="O8" s="22" t="s">
        <v>145</v>
      </c>
      <c r="P8" s="22">
        <v>1410806074</v>
      </c>
      <c r="Q8" s="22" t="s">
        <v>200</v>
      </c>
    </row>
    <row r="9" spans="1:17" x14ac:dyDescent="0.3">
      <c r="A9" s="5" t="s">
        <v>13</v>
      </c>
      <c r="B9" s="5" t="s">
        <v>109</v>
      </c>
      <c r="C9" s="12" t="s">
        <v>110</v>
      </c>
      <c r="D9" s="21" t="s">
        <v>170</v>
      </c>
      <c r="E9" s="22">
        <v>8</v>
      </c>
      <c r="F9" s="22" t="s">
        <v>144</v>
      </c>
      <c r="G9" s="22">
        <v>1410807001</v>
      </c>
      <c r="H9" s="22" t="s">
        <v>110</v>
      </c>
      <c r="J9" s="5" t="str">
        <f t="shared" si="0"/>
        <v>財金三２</v>
      </c>
      <c r="K9" s="5" t="str">
        <f>"1410806076"</f>
        <v>1410806076</v>
      </c>
      <c r="L9" s="12" t="str">
        <f>"程宥羚"</f>
        <v>程宥羚</v>
      </c>
      <c r="M9" s="21" t="s">
        <v>175</v>
      </c>
      <c r="N9" s="22">
        <v>8</v>
      </c>
      <c r="O9" s="22" t="s">
        <v>145</v>
      </c>
      <c r="P9" s="22">
        <v>1410806076</v>
      </c>
      <c r="Q9" s="22" t="s">
        <v>201</v>
      </c>
    </row>
    <row r="10" spans="1:17" x14ac:dyDescent="0.3">
      <c r="A10" s="5" t="s">
        <v>13</v>
      </c>
      <c r="B10" s="5" t="s">
        <v>28</v>
      </c>
      <c r="C10" s="12" t="s">
        <v>29</v>
      </c>
      <c r="D10" s="21" t="s">
        <v>171</v>
      </c>
      <c r="E10" s="22">
        <v>1</v>
      </c>
      <c r="F10" s="22" t="s">
        <v>144</v>
      </c>
      <c r="G10" s="22">
        <v>1410806007</v>
      </c>
      <c r="H10" s="22" t="s">
        <v>29</v>
      </c>
      <c r="J10" s="5" t="str">
        <f t="shared" si="0"/>
        <v>財金三２</v>
      </c>
      <c r="K10" s="5" t="str">
        <f>"1410806077"</f>
        <v>1410806077</v>
      </c>
      <c r="L10" s="12" t="str">
        <f>"詹羽涵"</f>
        <v>詹羽涵</v>
      </c>
      <c r="M10" s="21" t="s">
        <v>175</v>
      </c>
      <c r="N10" s="22">
        <v>9</v>
      </c>
      <c r="O10" s="22" t="s">
        <v>145</v>
      </c>
      <c r="P10" s="22">
        <v>1410806077</v>
      </c>
      <c r="Q10" s="22" t="s">
        <v>202</v>
      </c>
    </row>
    <row r="11" spans="1:17" x14ac:dyDescent="0.3">
      <c r="A11" s="5" t="s">
        <v>13</v>
      </c>
      <c r="B11" s="5" t="s">
        <v>36</v>
      </c>
      <c r="C11" s="12" t="s">
        <v>37</v>
      </c>
      <c r="D11" s="21" t="s">
        <v>171</v>
      </c>
      <c r="E11" s="22">
        <v>2</v>
      </c>
      <c r="F11" s="22" t="s">
        <v>144</v>
      </c>
      <c r="G11" s="22">
        <v>1410806011</v>
      </c>
      <c r="H11" s="22" t="s">
        <v>37</v>
      </c>
      <c r="J11" s="5" t="str">
        <f t="shared" si="0"/>
        <v>財金三２</v>
      </c>
      <c r="K11" s="5" t="str">
        <f>"1410806081"</f>
        <v>1410806081</v>
      </c>
      <c r="L11" s="12" t="str">
        <f>"莊維銘"</f>
        <v>莊維銘</v>
      </c>
      <c r="M11" s="24" t="s">
        <v>176</v>
      </c>
      <c r="N11" s="22">
        <v>1</v>
      </c>
      <c r="O11" s="22" t="s">
        <v>145</v>
      </c>
      <c r="P11" s="22">
        <v>1410806081</v>
      </c>
      <c r="Q11" s="22" t="s">
        <v>153</v>
      </c>
    </row>
    <row r="12" spans="1:17" x14ac:dyDescent="0.3">
      <c r="A12" s="5" t="s">
        <v>13</v>
      </c>
      <c r="B12" s="5" t="s">
        <v>44</v>
      </c>
      <c r="C12" s="12" t="s">
        <v>45</v>
      </c>
      <c r="D12" s="21" t="s">
        <v>171</v>
      </c>
      <c r="E12" s="22">
        <v>3</v>
      </c>
      <c r="F12" s="22" t="s">
        <v>144</v>
      </c>
      <c r="G12" s="22">
        <v>1410806015</v>
      </c>
      <c r="H12" s="22" t="s">
        <v>45</v>
      </c>
      <c r="J12" s="5" t="str">
        <f t="shared" si="0"/>
        <v>財金三２</v>
      </c>
      <c r="K12" s="5" t="str">
        <f>"1410806086"</f>
        <v>1410806086</v>
      </c>
      <c r="L12" s="12" t="str">
        <f>"邵名嘉"</f>
        <v>邵名嘉</v>
      </c>
      <c r="M12" s="24" t="s">
        <v>176</v>
      </c>
      <c r="N12" s="22">
        <v>2</v>
      </c>
      <c r="O12" s="22" t="s">
        <v>145</v>
      </c>
      <c r="P12" s="22">
        <v>1410806086</v>
      </c>
      <c r="Q12" s="22" t="s">
        <v>154</v>
      </c>
    </row>
    <row r="13" spans="1:17" x14ac:dyDescent="0.3">
      <c r="A13" s="5" t="s">
        <v>13</v>
      </c>
      <c r="B13" s="5" t="s">
        <v>48</v>
      </c>
      <c r="C13" s="12" t="s">
        <v>49</v>
      </c>
      <c r="D13" s="21" t="s">
        <v>171</v>
      </c>
      <c r="E13" s="22">
        <v>4</v>
      </c>
      <c r="F13" s="22" t="s">
        <v>144</v>
      </c>
      <c r="G13" s="22">
        <v>1410806017</v>
      </c>
      <c r="H13" s="22" t="s">
        <v>49</v>
      </c>
      <c r="J13" s="5" t="str">
        <f t="shared" si="0"/>
        <v>財金三２</v>
      </c>
      <c r="K13" s="5" t="str">
        <f>"1410806089"</f>
        <v>1410806089</v>
      </c>
      <c r="L13" s="12" t="str">
        <f>"陳智翔"</f>
        <v>陳智翔</v>
      </c>
      <c r="M13" s="24" t="s">
        <v>176</v>
      </c>
      <c r="N13" s="22">
        <v>3</v>
      </c>
      <c r="O13" s="22" t="s">
        <v>145</v>
      </c>
      <c r="P13" s="22">
        <v>1410806089</v>
      </c>
      <c r="Q13" s="22" t="s">
        <v>155</v>
      </c>
    </row>
    <row r="14" spans="1:17" x14ac:dyDescent="0.3">
      <c r="A14" s="5" t="s">
        <v>13</v>
      </c>
      <c r="B14" s="5" t="s">
        <v>56</v>
      </c>
      <c r="C14" s="12" t="s">
        <v>57</v>
      </c>
      <c r="D14" s="21" t="s">
        <v>171</v>
      </c>
      <c r="E14" s="22">
        <v>5</v>
      </c>
      <c r="F14" s="22" t="s">
        <v>144</v>
      </c>
      <c r="G14" s="22">
        <v>1410806021</v>
      </c>
      <c r="H14" s="22" t="s">
        <v>57</v>
      </c>
      <c r="J14" s="5" t="str">
        <f t="shared" si="0"/>
        <v>財金三２</v>
      </c>
      <c r="K14" s="5" t="str">
        <f>"1410806091"</f>
        <v>1410806091</v>
      </c>
      <c r="L14" s="12" t="str">
        <f>"黃慶洲"</f>
        <v>黃慶洲</v>
      </c>
      <c r="M14" s="24" t="s">
        <v>176</v>
      </c>
      <c r="N14" s="22">
        <v>4</v>
      </c>
      <c r="O14" s="22" t="s">
        <v>145</v>
      </c>
      <c r="P14" s="22">
        <v>1410806091</v>
      </c>
      <c r="Q14" s="22" t="s">
        <v>156</v>
      </c>
    </row>
    <row r="15" spans="1:17" x14ac:dyDescent="0.3">
      <c r="A15" s="5" t="s">
        <v>13</v>
      </c>
      <c r="B15" s="5" t="s">
        <v>70</v>
      </c>
      <c r="C15" s="12" t="s">
        <v>71</v>
      </c>
      <c r="D15" s="21" t="s">
        <v>171</v>
      </c>
      <c r="E15" s="22">
        <v>6</v>
      </c>
      <c r="F15" s="22" t="s">
        <v>144</v>
      </c>
      <c r="G15" s="22">
        <v>1410806028</v>
      </c>
      <c r="H15" s="22" t="s">
        <v>71</v>
      </c>
      <c r="J15" s="5" t="str">
        <f t="shared" si="0"/>
        <v>財金三２</v>
      </c>
      <c r="K15" s="5" t="str">
        <f>"1410806047"</f>
        <v>1410806047</v>
      </c>
      <c r="L15" s="12" t="str">
        <f>"林思均"</f>
        <v>林思均</v>
      </c>
      <c r="M15" s="21" t="s">
        <v>151</v>
      </c>
      <c r="N15" s="22">
        <v>1</v>
      </c>
      <c r="O15" s="22" t="s">
        <v>145</v>
      </c>
      <c r="P15" s="22">
        <v>1410806047</v>
      </c>
      <c r="Q15" s="22" t="s">
        <v>189</v>
      </c>
    </row>
    <row r="16" spans="1:17" x14ac:dyDescent="0.3">
      <c r="A16" s="5" t="s">
        <v>13</v>
      </c>
      <c r="B16" s="5" t="s">
        <v>72</v>
      </c>
      <c r="C16" s="12" t="s">
        <v>73</v>
      </c>
      <c r="D16" s="21" t="s">
        <v>171</v>
      </c>
      <c r="E16" s="22">
        <v>7</v>
      </c>
      <c r="F16" s="22" t="s">
        <v>144</v>
      </c>
      <c r="G16" s="22">
        <v>1410806029</v>
      </c>
      <c r="H16" s="22" t="s">
        <v>73</v>
      </c>
      <c r="J16" s="5" t="str">
        <f t="shared" si="0"/>
        <v>財金三２</v>
      </c>
      <c r="K16" s="5" t="str">
        <f>"1410806051"</f>
        <v>1410806051</v>
      </c>
      <c r="L16" s="12" t="str">
        <f>"吳盈萱"</f>
        <v>吳盈萱</v>
      </c>
      <c r="M16" s="21" t="s">
        <v>151</v>
      </c>
      <c r="N16" s="22">
        <v>2</v>
      </c>
      <c r="O16" s="22" t="s">
        <v>145</v>
      </c>
      <c r="P16" s="22">
        <v>1410806051</v>
      </c>
      <c r="Q16" s="22" t="s">
        <v>190</v>
      </c>
    </row>
    <row r="17" spans="1:17" x14ac:dyDescent="0.3">
      <c r="A17" s="5" t="s">
        <v>13</v>
      </c>
      <c r="B17" s="5" t="s">
        <v>74</v>
      </c>
      <c r="C17" s="12" t="s">
        <v>75</v>
      </c>
      <c r="D17" s="21" t="s">
        <v>171</v>
      </c>
      <c r="E17" s="22">
        <v>8</v>
      </c>
      <c r="F17" s="22" t="s">
        <v>144</v>
      </c>
      <c r="G17" s="22">
        <v>1410806030</v>
      </c>
      <c r="H17" s="22" t="s">
        <v>75</v>
      </c>
      <c r="J17" s="5" t="str">
        <f t="shared" si="0"/>
        <v>財金三２</v>
      </c>
      <c r="K17" s="5" t="str">
        <f>"1410806054"</f>
        <v>1410806054</v>
      </c>
      <c r="L17" s="12" t="str">
        <f>"林怡妘"</f>
        <v>林怡妘</v>
      </c>
      <c r="M17" s="21" t="s">
        <v>151</v>
      </c>
      <c r="N17" s="22">
        <v>3</v>
      </c>
      <c r="O17" s="22" t="s">
        <v>145</v>
      </c>
      <c r="P17" s="22">
        <v>1410806054</v>
      </c>
      <c r="Q17" s="22" t="s">
        <v>191</v>
      </c>
    </row>
    <row r="18" spans="1:17" x14ac:dyDescent="0.3">
      <c r="A18" s="5" t="s">
        <v>13</v>
      </c>
      <c r="B18" s="5" t="s">
        <v>80</v>
      </c>
      <c r="C18" s="12" t="s">
        <v>81</v>
      </c>
      <c r="D18" s="21" t="s">
        <v>171</v>
      </c>
      <c r="E18" s="22">
        <v>9</v>
      </c>
      <c r="F18" s="22" t="s">
        <v>144</v>
      </c>
      <c r="G18" s="22">
        <v>1410806033</v>
      </c>
      <c r="H18" s="22" t="s">
        <v>81</v>
      </c>
      <c r="J18" s="5" t="str">
        <f t="shared" si="0"/>
        <v>財金三２</v>
      </c>
      <c r="K18" s="5" t="str">
        <f>"1410806055"</f>
        <v>1410806055</v>
      </c>
      <c r="L18" s="12" t="str">
        <f>"姚又瑄"</f>
        <v>姚又瑄</v>
      </c>
      <c r="M18" s="21" t="s">
        <v>151</v>
      </c>
      <c r="N18" s="22">
        <v>4</v>
      </c>
      <c r="O18" s="22" t="s">
        <v>145</v>
      </c>
      <c r="P18" s="22">
        <v>1410806055</v>
      </c>
      <c r="Q18" s="22" t="s">
        <v>192</v>
      </c>
    </row>
    <row r="19" spans="1:17" x14ac:dyDescent="0.3">
      <c r="A19" s="5" t="s">
        <v>13</v>
      </c>
      <c r="B19" s="5" t="s">
        <v>18</v>
      </c>
      <c r="C19" s="12" t="s">
        <v>19</v>
      </c>
      <c r="D19" s="21" t="s">
        <v>143</v>
      </c>
      <c r="E19" s="22">
        <v>1</v>
      </c>
      <c r="F19" s="22" t="s">
        <v>144</v>
      </c>
      <c r="G19" s="22">
        <v>1410806002</v>
      </c>
      <c r="H19" s="22" t="s">
        <v>19</v>
      </c>
      <c r="J19" s="5" t="str">
        <f t="shared" si="0"/>
        <v>財金三２</v>
      </c>
      <c r="K19" s="5" t="str">
        <f>"1410806068"</f>
        <v>1410806068</v>
      </c>
      <c r="L19" s="12" t="str">
        <f>"王翊玟"</f>
        <v>王翊玟</v>
      </c>
      <c r="M19" s="21" t="s">
        <v>151</v>
      </c>
      <c r="N19" s="22">
        <v>5</v>
      </c>
      <c r="O19" s="22" t="s">
        <v>145</v>
      </c>
      <c r="P19" s="22">
        <v>1410806068</v>
      </c>
      <c r="Q19" s="22" t="s">
        <v>193</v>
      </c>
    </row>
    <row r="20" spans="1:17" x14ac:dyDescent="0.3">
      <c r="A20" s="5" t="s">
        <v>13</v>
      </c>
      <c r="B20" s="5" t="s">
        <v>26</v>
      </c>
      <c r="C20" s="12" t="s">
        <v>27</v>
      </c>
      <c r="D20" s="21" t="s">
        <v>143</v>
      </c>
      <c r="E20" s="22">
        <v>2</v>
      </c>
      <c r="F20" s="22" t="s">
        <v>144</v>
      </c>
      <c r="G20" s="22">
        <v>1410806006</v>
      </c>
      <c r="H20" s="22" t="s">
        <v>27</v>
      </c>
      <c r="J20" s="5" t="str">
        <f t="shared" si="0"/>
        <v>財金三２</v>
      </c>
      <c r="K20" s="5" t="str">
        <f>"1410806053"</f>
        <v>1410806053</v>
      </c>
      <c r="L20" s="12" t="str">
        <f>"李昀珊"</f>
        <v>李昀珊</v>
      </c>
      <c r="M20" s="21" t="s">
        <v>177</v>
      </c>
      <c r="N20" s="22">
        <v>1</v>
      </c>
      <c r="O20" s="22" t="s">
        <v>145</v>
      </c>
      <c r="P20" s="22">
        <v>1410806053</v>
      </c>
      <c r="Q20" s="22" t="s">
        <v>160</v>
      </c>
    </row>
    <row r="21" spans="1:17" x14ac:dyDescent="0.3">
      <c r="A21" s="5" t="s">
        <v>13</v>
      </c>
      <c r="B21" s="5" t="s">
        <v>64</v>
      </c>
      <c r="C21" s="12" t="s">
        <v>65</v>
      </c>
      <c r="D21" s="21" t="s">
        <v>143</v>
      </c>
      <c r="E21" s="22">
        <v>3</v>
      </c>
      <c r="F21" s="22" t="s">
        <v>144</v>
      </c>
      <c r="G21" s="22">
        <v>1410806025</v>
      </c>
      <c r="H21" s="22" t="s">
        <v>65</v>
      </c>
      <c r="J21" s="5" t="str">
        <f t="shared" si="0"/>
        <v>財金三２</v>
      </c>
      <c r="K21" s="5" t="str">
        <f>"1410806062"</f>
        <v>1410806062</v>
      </c>
      <c r="L21" s="12" t="str">
        <f>"詹芷瑜"</f>
        <v>詹芷瑜</v>
      </c>
      <c r="M21" s="21" t="s">
        <v>177</v>
      </c>
      <c r="N21" s="22">
        <v>2</v>
      </c>
      <c r="O21" s="22" t="s">
        <v>145</v>
      </c>
      <c r="P21" s="22">
        <v>1410806062</v>
      </c>
      <c r="Q21" s="22" t="s">
        <v>161</v>
      </c>
    </row>
    <row r="22" spans="1:17" x14ac:dyDescent="0.3">
      <c r="A22" s="5" t="s">
        <v>13</v>
      </c>
      <c r="B22" s="5" t="s">
        <v>89</v>
      </c>
      <c r="C22" s="12" t="s">
        <v>90</v>
      </c>
      <c r="D22" s="21" t="s">
        <v>143</v>
      </c>
      <c r="E22" s="22">
        <v>4</v>
      </c>
      <c r="F22" s="22" t="s">
        <v>144</v>
      </c>
      <c r="G22" s="22">
        <v>1410806038</v>
      </c>
      <c r="H22" s="22" t="s">
        <v>90</v>
      </c>
      <c r="J22" s="5" t="str">
        <f t="shared" si="0"/>
        <v>財金三２</v>
      </c>
      <c r="K22" s="5" t="str">
        <f>"1410806069"</f>
        <v>1410806069</v>
      </c>
      <c r="L22" s="12" t="str">
        <f>"石若彣"</f>
        <v>石若彣</v>
      </c>
      <c r="M22" s="21" t="s">
        <v>177</v>
      </c>
      <c r="N22" s="22">
        <v>3</v>
      </c>
      <c r="O22" s="22" t="s">
        <v>145</v>
      </c>
      <c r="P22" s="22">
        <v>1410806069</v>
      </c>
      <c r="Q22" s="22" t="s">
        <v>162</v>
      </c>
    </row>
    <row r="23" spans="1:17" x14ac:dyDescent="0.3">
      <c r="A23" s="5" t="s">
        <v>13</v>
      </c>
      <c r="B23" s="5" t="s">
        <v>111</v>
      </c>
      <c r="C23" s="12" t="s">
        <v>112</v>
      </c>
      <c r="D23" s="21" t="s">
        <v>143</v>
      </c>
      <c r="E23" s="22">
        <v>5</v>
      </c>
      <c r="F23" s="22" t="s">
        <v>144</v>
      </c>
      <c r="G23" s="22">
        <v>1410831026</v>
      </c>
      <c r="H23" s="22" t="s">
        <v>112</v>
      </c>
      <c r="J23" s="5" t="str">
        <f t="shared" si="0"/>
        <v>財金三２</v>
      </c>
      <c r="K23" s="5" t="str">
        <f>"1410806075"</f>
        <v>1410806075</v>
      </c>
      <c r="L23" s="12" t="str">
        <f>"傅雅琴"</f>
        <v>傅雅琴</v>
      </c>
      <c r="M23" s="21" t="s">
        <v>177</v>
      </c>
      <c r="N23" s="22">
        <v>4</v>
      </c>
      <c r="O23" s="22" t="s">
        <v>145</v>
      </c>
      <c r="P23" s="22">
        <v>1410806075</v>
      </c>
      <c r="Q23" s="22" t="s">
        <v>163</v>
      </c>
    </row>
    <row r="24" spans="1:17" x14ac:dyDescent="0.3">
      <c r="A24" s="18" t="s">
        <v>13</v>
      </c>
      <c r="B24" s="18">
        <v>1410706035</v>
      </c>
      <c r="C24" s="19" t="s">
        <v>15</v>
      </c>
      <c r="D24" s="23" t="s">
        <v>140</v>
      </c>
      <c r="E24" s="27">
        <v>1</v>
      </c>
      <c r="F24" s="27" t="s">
        <v>144</v>
      </c>
      <c r="G24" s="27">
        <v>1410706035</v>
      </c>
      <c r="H24" s="27" t="s">
        <v>15</v>
      </c>
      <c r="J24" s="5" t="str">
        <f t="shared" si="0"/>
        <v>財金三２</v>
      </c>
      <c r="K24" s="5" t="str">
        <f>"1410806080"</f>
        <v>1410806080</v>
      </c>
      <c r="L24" s="12" t="str">
        <f>"洪證淇"</f>
        <v>洪證淇</v>
      </c>
      <c r="M24" s="21" t="s">
        <v>177</v>
      </c>
      <c r="N24" s="22">
        <v>5</v>
      </c>
      <c r="O24" s="22" t="s">
        <v>145</v>
      </c>
      <c r="P24" s="22">
        <v>1410806080</v>
      </c>
      <c r="Q24" s="22" t="s">
        <v>146</v>
      </c>
    </row>
    <row r="25" spans="1:17" x14ac:dyDescent="0.3">
      <c r="A25" s="5" t="s">
        <v>13</v>
      </c>
      <c r="B25" s="5" t="s">
        <v>34</v>
      </c>
      <c r="C25" s="12" t="s">
        <v>35</v>
      </c>
      <c r="D25" s="21" t="s">
        <v>172</v>
      </c>
      <c r="E25" s="27">
        <v>2</v>
      </c>
      <c r="F25" s="27" t="s">
        <v>144</v>
      </c>
      <c r="G25" s="27">
        <v>1410806010</v>
      </c>
      <c r="H25" s="27" t="s">
        <v>35</v>
      </c>
      <c r="J25" s="5" t="str">
        <f t="shared" si="0"/>
        <v>財金三２</v>
      </c>
      <c r="K25" s="5" t="str">
        <f>"1410806082"</f>
        <v>1410806082</v>
      </c>
      <c r="L25" s="12" t="str">
        <f>"許躍騰"</f>
        <v>許躍騰</v>
      </c>
      <c r="M25" s="21" t="s">
        <v>177</v>
      </c>
      <c r="N25" s="22">
        <v>6</v>
      </c>
      <c r="O25" s="22" t="s">
        <v>145</v>
      </c>
      <c r="P25" s="22">
        <v>1410806082</v>
      </c>
      <c r="Q25" s="22" t="s">
        <v>164</v>
      </c>
    </row>
    <row r="26" spans="1:17" x14ac:dyDescent="0.3">
      <c r="A26" s="5" t="s">
        <v>13</v>
      </c>
      <c r="B26" s="5" t="s">
        <v>42</v>
      </c>
      <c r="C26" s="12" t="s">
        <v>43</v>
      </c>
      <c r="D26" s="21" t="s">
        <v>172</v>
      </c>
      <c r="E26" s="27">
        <v>3</v>
      </c>
      <c r="F26" s="27" t="s">
        <v>144</v>
      </c>
      <c r="G26" s="27">
        <v>1410806014</v>
      </c>
      <c r="H26" s="27" t="s">
        <v>43</v>
      </c>
      <c r="J26" s="5" t="str">
        <f t="shared" si="0"/>
        <v>財金三２</v>
      </c>
      <c r="K26" s="5" t="str">
        <f>"1410806083"</f>
        <v>1410806083</v>
      </c>
      <c r="L26" s="12" t="str">
        <f>"賴冠順"</f>
        <v>賴冠順</v>
      </c>
      <c r="M26" s="21" t="s">
        <v>177</v>
      </c>
      <c r="N26" s="22">
        <v>7</v>
      </c>
      <c r="O26" s="22" t="s">
        <v>145</v>
      </c>
      <c r="P26" s="22">
        <v>1410806083</v>
      </c>
      <c r="Q26" s="22" t="s">
        <v>147</v>
      </c>
    </row>
    <row r="27" spans="1:17" x14ac:dyDescent="0.3">
      <c r="A27" s="5" t="s">
        <v>13</v>
      </c>
      <c r="B27" s="5" t="s">
        <v>46</v>
      </c>
      <c r="C27" s="12" t="s">
        <v>47</v>
      </c>
      <c r="D27" s="21" t="s">
        <v>172</v>
      </c>
      <c r="E27" s="27">
        <v>4</v>
      </c>
      <c r="F27" s="27" t="s">
        <v>144</v>
      </c>
      <c r="G27" s="27">
        <v>1410806016</v>
      </c>
      <c r="H27" s="27" t="s">
        <v>47</v>
      </c>
      <c r="J27" s="5" t="str">
        <f t="shared" si="0"/>
        <v>財金三２</v>
      </c>
      <c r="K27" s="5" t="str">
        <f>"1410806084"</f>
        <v>1410806084</v>
      </c>
      <c r="L27" s="12" t="str">
        <f>"王聖齊"</f>
        <v>王聖齊</v>
      </c>
      <c r="M27" s="21" t="s">
        <v>177</v>
      </c>
      <c r="N27" s="22">
        <v>8</v>
      </c>
      <c r="O27" s="22" t="s">
        <v>145</v>
      </c>
      <c r="P27" s="22">
        <v>1410806084</v>
      </c>
      <c r="Q27" s="22" t="s">
        <v>165</v>
      </c>
    </row>
    <row r="28" spans="1:17" x14ac:dyDescent="0.3">
      <c r="A28" s="5" t="s">
        <v>13</v>
      </c>
      <c r="B28" s="5" t="s">
        <v>60</v>
      </c>
      <c r="C28" s="12" t="s">
        <v>61</v>
      </c>
      <c r="D28" s="21" t="s">
        <v>172</v>
      </c>
      <c r="E28" s="27">
        <v>5</v>
      </c>
      <c r="F28" s="27" t="s">
        <v>144</v>
      </c>
      <c r="G28" s="27">
        <v>1410806023</v>
      </c>
      <c r="H28" s="27" t="s">
        <v>61</v>
      </c>
      <c r="J28" s="5" t="str">
        <f t="shared" si="0"/>
        <v>財金三２</v>
      </c>
      <c r="K28" s="5" t="str">
        <f>"1410806088"</f>
        <v>1410806088</v>
      </c>
      <c r="L28" s="12" t="str">
        <f>"許家源"</f>
        <v>許家源</v>
      </c>
      <c r="M28" s="21" t="s">
        <v>177</v>
      </c>
      <c r="N28" s="22">
        <v>9</v>
      </c>
      <c r="O28" s="22" t="s">
        <v>145</v>
      </c>
      <c r="P28" s="22">
        <v>1410806088</v>
      </c>
      <c r="Q28" s="22" t="s">
        <v>166</v>
      </c>
    </row>
    <row r="29" spans="1:17" x14ac:dyDescent="0.3">
      <c r="A29" s="5" t="s">
        <v>13</v>
      </c>
      <c r="B29" s="5" t="s">
        <v>68</v>
      </c>
      <c r="C29" s="12" t="s">
        <v>69</v>
      </c>
      <c r="D29" s="21" t="s">
        <v>172</v>
      </c>
      <c r="E29" s="27">
        <v>6</v>
      </c>
      <c r="F29" s="27" t="s">
        <v>144</v>
      </c>
      <c r="G29" s="27">
        <v>1410806027</v>
      </c>
      <c r="H29" s="27" t="s">
        <v>69</v>
      </c>
      <c r="J29" s="5" t="str">
        <f t="shared" si="0"/>
        <v>財金三２</v>
      </c>
      <c r="K29" s="5" t="str">
        <f>"1410806090"</f>
        <v>1410806090</v>
      </c>
      <c r="L29" s="12" t="str">
        <f>"黃家保"</f>
        <v>黃家保</v>
      </c>
      <c r="M29" s="21" t="s">
        <v>177</v>
      </c>
      <c r="N29" s="22">
        <v>10</v>
      </c>
      <c r="O29" s="22" t="s">
        <v>145</v>
      </c>
      <c r="P29" s="22">
        <v>1410806090</v>
      </c>
      <c r="Q29" s="22" t="s">
        <v>148</v>
      </c>
    </row>
    <row r="30" spans="1:17" x14ac:dyDescent="0.3">
      <c r="A30" s="5" t="s">
        <v>13</v>
      </c>
      <c r="B30" s="5" t="s">
        <v>91</v>
      </c>
      <c r="C30" s="12" t="s">
        <v>92</v>
      </c>
      <c r="D30" s="21" t="s">
        <v>172</v>
      </c>
      <c r="E30" s="27">
        <v>7</v>
      </c>
      <c r="F30" s="27" t="s">
        <v>144</v>
      </c>
      <c r="G30" s="27">
        <v>1410806039</v>
      </c>
      <c r="H30" s="27" t="s">
        <v>92</v>
      </c>
      <c r="J30" s="5" t="str">
        <f t="shared" si="0"/>
        <v>財金三２</v>
      </c>
      <c r="K30" s="5" t="str">
        <f>"1410806048"</f>
        <v>1410806048</v>
      </c>
      <c r="L30" s="12" t="str">
        <f>"許晏禎"</f>
        <v>許晏禎</v>
      </c>
      <c r="M30" s="21" t="s">
        <v>152</v>
      </c>
      <c r="N30" s="22">
        <v>1</v>
      </c>
      <c r="O30" s="22" t="s">
        <v>145</v>
      </c>
      <c r="P30" s="22">
        <v>1410806048</v>
      </c>
      <c r="Q30" s="22" t="s">
        <v>178</v>
      </c>
    </row>
    <row r="31" spans="1:17" x14ac:dyDescent="0.3">
      <c r="A31" s="5" t="s">
        <v>13</v>
      </c>
      <c r="B31" s="5" t="s">
        <v>93</v>
      </c>
      <c r="C31" s="12" t="s">
        <v>94</v>
      </c>
      <c r="D31" s="21" t="s">
        <v>172</v>
      </c>
      <c r="E31" s="27">
        <v>8</v>
      </c>
      <c r="F31" s="27" t="s">
        <v>144</v>
      </c>
      <c r="G31" s="27">
        <v>1410806040</v>
      </c>
      <c r="H31" s="27" t="s">
        <v>94</v>
      </c>
      <c r="J31" s="5" t="str">
        <f t="shared" si="0"/>
        <v>財金三２</v>
      </c>
      <c r="K31" s="5" t="str">
        <f>"1410806049"</f>
        <v>1410806049</v>
      </c>
      <c r="L31" s="12" t="str">
        <f>"賴宣涵"</f>
        <v>賴宣涵</v>
      </c>
      <c r="M31" s="21" t="s">
        <v>152</v>
      </c>
      <c r="N31" s="22">
        <v>2</v>
      </c>
      <c r="O31" s="22" t="s">
        <v>145</v>
      </c>
      <c r="P31" s="22">
        <v>1410806049</v>
      </c>
      <c r="Q31" s="22" t="s">
        <v>179</v>
      </c>
    </row>
    <row r="32" spans="1:17" x14ac:dyDescent="0.3">
      <c r="A32" s="5" t="s">
        <v>13</v>
      </c>
      <c r="B32" s="5" t="s">
        <v>105</v>
      </c>
      <c r="C32" s="12" t="s">
        <v>106</v>
      </c>
      <c r="D32" s="21" t="s">
        <v>172</v>
      </c>
      <c r="E32" s="27">
        <v>9</v>
      </c>
      <c r="F32" s="27" t="s">
        <v>144</v>
      </c>
      <c r="G32" s="27">
        <v>1410806046</v>
      </c>
      <c r="H32" s="27" t="s">
        <v>106</v>
      </c>
      <c r="J32" s="5" t="str">
        <f t="shared" si="0"/>
        <v>財金三２</v>
      </c>
      <c r="K32" s="5" t="str">
        <f>"1410806052"</f>
        <v>1410806052</v>
      </c>
      <c r="L32" s="12" t="str">
        <f>"宋雁荻"</f>
        <v>宋雁荻</v>
      </c>
      <c r="M32" s="21" t="s">
        <v>152</v>
      </c>
      <c r="N32" s="22">
        <v>3</v>
      </c>
      <c r="O32" s="22" t="s">
        <v>145</v>
      </c>
      <c r="P32" s="22">
        <v>1410806052</v>
      </c>
      <c r="Q32" s="22" t="s">
        <v>180</v>
      </c>
    </row>
    <row r="33" spans="1:17" x14ac:dyDescent="0.3">
      <c r="A33" s="5" t="s">
        <v>13</v>
      </c>
      <c r="B33" s="5" t="s">
        <v>107</v>
      </c>
      <c r="C33" s="12" t="s">
        <v>108</v>
      </c>
      <c r="D33" s="21" t="s">
        <v>172</v>
      </c>
      <c r="E33" s="27">
        <v>10</v>
      </c>
      <c r="F33" s="27" t="s">
        <v>144</v>
      </c>
      <c r="G33" s="27">
        <v>1410806093</v>
      </c>
      <c r="H33" s="27" t="s">
        <v>108</v>
      </c>
      <c r="J33" s="5" t="str">
        <f t="shared" si="0"/>
        <v>財金三２</v>
      </c>
      <c r="K33" s="5" t="str">
        <f>"1410806061"</f>
        <v>1410806061</v>
      </c>
      <c r="L33" s="12" t="str">
        <f>"黃莘雅"</f>
        <v>黃莘雅</v>
      </c>
      <c r="M33" s="21" t="s">
        <v>152</v>
      </c>
      <c r="N33" s="22">
        <v>4</v>
      </c>
      <c r="O33" s="22" t="s">
        <v>145</v>
      </c>
      <c r="P33" s="22">
        <v>1410806061</v>
      </c>
      <c r="Q33" s="22" t="s">
        <v>181</v>
      </c>
    </row>
    <row r="34" spans="1:17" x14ac:dyDescent="0.3">
      <c r="A34" s="5" t="s">
        <v>13</v>
      </c>
      <c r="B34" s="5" t="s">
        <v>22</v>
      </c>
      <c r="C34" s="12" t="s">
        <v>23</v>
      </c>
      <c r="D34" s="21" t="s">
        <v>173</v>
      </c>
      <c r="E34" s="22">
        <v>1</v>
      </c>
      <c r="F34" s="22" t="s">
        <v>144</v>
      </c>
      <c r="G34" s="22">
        <v>1410806004</v>
      </c>
      <c r="H34" s="22" t="s">
        <v>23</v>
      </c>
      <c r="J34" s="5" t="str">
        <f t="shared" si="0"/>
        <v>財金三２</v>
      </c>
      <c r="K34" s="5" t="str">
        <f>"1410806065"</f>
        <v>1410806065</v>
      </c>
      <c r="L34" s="12" t="str">
        <f>"戴宏貞"</f>
        <v>戴宏貞</v>
      </c>
      <c r="M34" s="21" t="s">
        <v>152</v>
      </c>
      <c r="N34" s="22">
        <v>5</v>
      </c>
      <c r="O34" s="22" t="s">
        <v>145</v>
      </c>
      <c r="P34" s="22">
        <v>1410806065</v>
      </c>
      <c r="Q34" s="22" t="s">
        <v>182</v>
      </c>
    </row>
    <row r="35" spans="1:17" x14ac:dyDescent="0.3">
      <c r="A35" s="5" t="s">
        <v>13</v>
      </c>
      <c r="B35" s="5" t="s">
        <v>38</v>
      </c>
      <c r="C35" s="12" t="s">
        <v>39</v>
      </c>
      <c r="D35" s="21" t="s">
        <v>173</v>
      </c>
      <c r="E35" s="22">
        <v>2</v>
      </c>
      <c r="F35" s="22" t="s">
        <v>144</v>
      </c>
      <c r="G35" s="22">
        <v>1410806012</v>
      </c>
      <c r="H35" s="22" t="s">
        <v>39</v>
      </c>
      <c r="J35" s="5" t="str">
        <f t="shared" si="0"/>
        <v>財金三２</v>
      </c>
      <c r="K35" s="5" t="str">
        <f>"1410806070"</f>
        <v>1410806070</v>
      </c>
      <c r="L35" s="12" t="str">
        <f>"周宥妘"</f>
        <v>周宥妘</v>
      </c>
      <c r="M35" s="21" t="s">
        <v>152</v>
      </c>
      <c r="N35" s="22">
        <v>6</v>
      </c>
      <c r="O35" s="22" t="s">
        <v>145</v>
      </c>
      <c r="P35" s="22">
        <v>1410806070</v>
      </c>
      <c r="Q35" s="22" t="s">
        <v>183</v>
      </c>
    </row>
    <row r="36" spans="1:17" x14ac:dyDescent="0.3">
      <c r="A36" s="5" t="s">
        <v>13</v>
      </c>
      <c r="B36" s="5" t="s">
        <v>40</v>
      </c>
      <c r="C36" s="12" t="s">
        <v>41</v>
      </c>
      <c r="D36" s="21" t="s">
        <v>173</v>
      </c>
      <c r="E36" s="22">
        <v>3</v>
      </c>
      <c r="F36" s="22" t="s">
        <v>144</v>
      </c>
      <c r="G36" s="22">
        <v>1410806013</v>
      </c>
      <c r="H36" s="22" t="s">
        <v>41</v>
      </c>
      <c r="J36" s="5" t="str">
        <f t="shared" si="0"/>
        <v>財金三２</v>
      </c>
      <c r="K36" s="5" t="str">
        <f>"1410806078"</f>
        <v>1410806078</v>
      </c>
      <c r="L36" s="12" t="str">
        <f>"劉佳瑄"</f>
        <v>劉佳瑄</v>
      </c>
      <c r="M36" s="21" t="s">
        <v>152</v>
      </c>
      <c r="N36" s="22">
        <v>7</v>
      </c>
      <c r="O36" s="22" t="s">
        <v>145</v>
      </c>
      <c r="P36" s="22">
        <v>1410806078</v>
      </c>
      <c r="Q36" s="22" t="s">
        <v>184</v>
      </c>
    </row>
    <row r="37" spans="1:17" x14ac:dyDescent="0.3">
      <c r="A37" s="5" t="s">
        <v>13</v>
      </c>
      <c r="B37" s="5" t="s">
        <v>78</v>
      </c>
      <c r="C37" s="12" t="s">
        <v>79</v>
      </c>
      <c r="D37" s="21" t="s">
        <v>173</v>
      </c>
      <c r="E37" s="22">
        <v>4</v>
      </c>
      <c r="F37" s="22" t="s">
        <v>144</v>
      </c>
      <c r="G37" s="22">
        <v>1410806032</v>
      </c>
      <c r="H37" s="22" t="s">
        <v>79</v>
      </c>
      <c r="J37" s="5" t="str">
        <f t="shared" si="0"/>
        <v>財金三２</v>
      </c>
      <c r="K37" s="5" t="str">
        <f>"1410806079"</f>
        <v>1410806079</v>
      </c>
      <c r="L37" s="12" t="str">
        <f>"王傳硯"</f>
        <v>王傳硯</v>
      </c>
      <c r="M37" s="21" t="s">
        <v>152</v>
      </c>
      <c r="N37" s="22">
        <v>8</v>
      </c>
      <c r="O37" s="22" t="s">
        <v>145</v>
      </c>
      <c r="P37" s="22">
        <v>1410806079</v>
      </c>
      <c r="Q37" s="22" t="s">
        <v>185</v>
      </c>
    </row>
    <row r="38" spans="1:17" x14ac:dyDescent="0.3">
      <c r="A38" s="5" t="s">
        <v>13</v>
      </c>
      <c r="B38" s="5" t="s">
        <v>82</v>
      </c>
      <c r="C38" s="12" t="s">
        <v>83</v>
      </c>
      <c r="D38" s="21" t="s">
        <v>169</v>
      </c>
      <c r="E38" s="22">
        <v>1</v>
      </c>
      <c r="F38" s="22" t="s">
        <v>144</v>
      </c>
      <c r="G38" s="22">
        <v>1410806034</v>
      </c>
      <c r="H38" s="22" t="s">
        <v>83</v>
      </c>
      <c r="J38" s="5" t="str">
        <f t="shared" si="0"/>
        <v>財金三２</v>
      </c>
      <c r="K38" s="5" t="str">
        <f>"1410806085"</f>
        <v>1410806085</v>
      </c>
      <c r="L38" s="12" t="str">
        <f>"李浩宇"</f>
        <v>李浩宇</v>
      </c>
      <c r="M38" s="21" t="s">
        <v>152</v>
      </c>
      <c r="N38" s="22">
        <v>9</v>
      </c>
      <c r="O38" s="22" t="s">
        <v>145</v>
      </c>
      <c r="P38" s="22">
        <v>1410806085</v>
      </c>
      <c r="Q38" s="22" t="s">
        <v>186</v>
      </c>
    </row>
    <row r="39" spans="1:17" x14ac:dyDescent="0.3">
      <c r="A39" s="5" t="s">
        <v>13</v>
      </c>
      <c r="B39" s="5" t="s">
        <v>95</v>
      </c>
      <c r="C39" s="12" t="s">
        <v>96</v>
      </c>
      <c r="D39" s="21" t="s">
        <v>169</v>
      </c>
      <c r="E39" s="22">
        <v>2</v>
      </c>
      <c r="F39" s="22" t="s">
        <v>144</v>
      </c>
      <c r="G39" s="22">
        <v>1410806041</v>
      </c>
      <c r="H39" s="22" t="s">
        <v>96</v>
      </c>
      <c r="J39" s="5" t="str">
        <f t="shared" si="0"/>
        <v>財金三２</v>
      </c>
      <c r="K39" s="5" t="str">
        <f>"1410806087"</f>
        <v>1410806087</v>
      </c>
      <c r="L39" s="12" t="str">
        <f>"張翔堉"</f>
        <v>張翔堉</v>
      </c>
      <c r="M39" s="21" t="s">
        <v>152</v>
      </c>
      <c r="N39" s="22">
        <v>10</v>
      </c>
      <c r="O39" s="22" t="s">
        <v>145</v>
      </c>
      <c r="P39" s="22">
        <v>1410806087</v>
      </c>
      <c r="Q39" s="22" t="s">
        <v>187</v>
      </c>
    </row>
    <row r="40" spans="1:17" x14ac:dyDescent="0.3">
      <c r="A40" s="5" t="s">
        <v>13</v>
      </c>
      <c r="B40" s="5" t="s">
        <v>101</v>
      </c>
      <c r="C40" s="12" t="s">
        <v>102</v>
      </c>
      <c r="D40" s="21" t="s">
        <v>169</v>
      </c>
      <c r="E40" s="22">
        <v>3</v>
      </c>
      <c r="F40" s="22" t="s">
        <v>144</v>
      </c>
      <c r="G40" s="22">
        <v>1410806044</v>
      </c>
      <c r="H40" s="22" t="s">
        <v>102</v>
      </c>
      <c r="J40" s="5" t="str">
        <f t="shared" si="0"/>
        <v>財金三２</v>
      </c>
      <c r="K40" s="5" t="str">
        <f>"1410806096"</f>
        <v>1410806096</v>
      </c>
      <c r="L40" s="12" t="str">
        <f>"范蔆玲"</f>
        <v>范蔆玲</v>
      </c>
      <c r="M40" s="21" t="s">
        <v>152</v>
      </c>
      <c r="N40" s="22">
        <v>11</v>
      </c>
      <c r="O40" s="22" t="s">
        <v>145</v>
      </c>
      <c r="P40" s="22">
        <v>1410806096</v>
      </c>
      <c r="Q40" s="22" t="s">
        <v>188</v>
      </c>
    </row>
    <row r="41" spans="1:17" x14ac:dyDescent="0.3">
      <c r="A41" s="5" t="s">
        <v>13</v>
      </c>
      <c r="B41" s="5" t="s">
        <v>103</v>
      </c>
      <c r="C41" s="12" t="s">
        <v>104</v>
      </c>
      <c r="D41" s="21" t="s">
        <v>169</v>
      </c>
      <c r="E41" s="22">
        <v>4</v>
      </c>
      <c r="F41" s="22" t="s">
        <v>144</v>
      </c>
      <c r="G41" s="22">
        <v>1410806045</v>
      </c>
      <c r="H41" s="22" t="s">
        <v>104</v>
      </c>
      <c r="J41" s="5" t="str">
        <f t="shared" si="0"/>
        <v>財金三２</v>
      </c>
      <c r="K41" s="5" t="str">
        <f>"1410806073"</f>
        <v>1410806073</v>
      </c>
      <c r="L41" s="12" t="str">
        <f>"張蕙讌"</f>
        <v>張蕙讌</v>
      </c>
      <c r="M41" s="24" t="s">
        <v>168</v>
      </c>
      <c r="N41" s="22">
        <v>1</v>
      </c>
      <c r="O41" s="22" t="s">
        <v>145</v>
      </c>
      <c r="P41" s="22">
        <v>1410806073</v>
      </c>
      <c r="Q41" s="22" t="s">
        <v>157</v>
      </c>
    </row>
    <row r="42" spans="1:17" x14ac:dyDescent="0.3">
      <c r="A42" s="5" t="s">
        <v>13</v>
      </c>
      <c r="B42" s="5" t="s">
        <v>16</v>
      </c>
      <c r="C42" s="12" t="s">
        <v>17</v>
      </c>
      <c r="D42" s="21" t="s">
        <v>174</v>
      </c>
      <c r="E42" s="22">
        <v>1</v>
      </c>
      <c r="F42" s="22" t="s">
        <v>144</v>
      </c>
      <c r="G42" s="22">
        <v>1410806001</v>
      </c>
      <c r="H42" s="22" t="s">
        <v>17</v>
      </c>
      <c r="J42" s="5" t="str">
        <f t="shared" si="0"/>
        <v>財金三２</v>
      </c>
      <c r="K42" s="5" t="str">
        <f>"1410806094"</f>
        <v>1410806094</v>
      </c>
      <c r="L42" s="12" t="str">
        <f>"鄧金英"</f>
        <v>鄧金英</v>
      </c>
      <c r="M42" s="24" t="s">
        <v>168</v>
      </c>
      <c r="N42" s="22">
        <v>2</v>
      </c>
      <c r="O42" s="22" t="s">
        <v>145</v>
      </c>
      <c r="P42" s="22">
        <v>1410806094</v>
      </c>
      <c r="Q42" s="22" t="s">
        <v>159</v>
      </c>
    </row>
    <row r="43" spans="1:17" x14ac:dyDescent="0.3">
      <c r="A43" s="5" t="s">
        <v>13</v>
      </c>
      <c r="B43" s="5" t="s">
        <v>20</v>
      </c>
      <c r="C43" s="12" t="s">
        <v>21</v>
      </c>
      <c r="D43" s="21" t="s">
        <v>174</v>
      </c>
      <c r="E43" s="22">
        <v>2</v>
      </c>
      <c r="F43" s="22" t="s">
        <v>144</v>
      </c>
      <c r="G43" s="22">
        <v>1410806003</v>
      </c>
      <c r="H43" s="22" t="s">
        <v>21</v>
      </c>
      <c r="J43" s="5" t="str">
        <f t="shared" si="0"/>
        <v>財金三２</v>
      </c>
      <c r="K43" s="5" t="str">
        <f>"1410806095"</f>
        <v>1410806095</v>
      </c>
      <c r="L43" s="12" t="str">
        <f>"佘欣潓"</f>
        <v>佘欣潓</v>
      </c>
      <c r="M43" s="24" t="s">
        <v>168</v>
      </c>
      <c r="N43" s="22">
        <v>3</v>
      </c>
      <c r="O43" s="22" t="s">
        <v>145</v>
      </c>
      <c r="P43" s="22">
        <v>1410806095</v>
      </c>
      <c r="Q43" s="22" t="s">
        <v>150</v>
      </c>
    </row>
    <row r="44" spans="1:17" x14ac:dyDescent="0.3">
      <c r="A44" s="5" t="s">
        <v>13</v>
      </c>
      <c r="B44" s="5" t="s">
        <v>24</v>
      </c>
      <c r="C44" s="12" t="s">
        <v>25</v>
      </c>
      <c r="D44" s="21" t="s">
        <v>174</v>
      </c>
      <c r="E44" s="22">
        <v>3</v>
      </c>
      <c r="F44" s="22" t="s">
        <v>144</v>
      </c>
      <c r="G44" s="22">
        <v>1410806005</v>
      </c>
      <c r="H44" s="22" t="s">
        <v>25</v>
      </c>
      <c r="J44" s="5" t="str">
        <f t="shared" si="0"/>
        <v>財金三２</v>
      </c>
      <c r="K44" s="5" t="str">
        <f>"1410806098"</f>
        <v>1410806098</v>
      </c>
      <c r="L44" s="12" t="str">
        <f>"林嘉鴻"</f>
        <v>林嘉鴻</v>
      </c>
      <c r="M44" s="24" t="s">
        <v>168</v>
      </c>
      <c r="N44" s="22">
        <v>4</v>
      </c>
      <c r="O44" s="22" t="s">
        <v>145</v>
      </c>
      <c r="P44" s="22">
        <v>1410806098</v>
      </c>
      <c r="Q44" s="22" t="s">
        <v>158</v>
      </c>
    </row>
    <row r="45" spans="1:17" x14ac:dyDescent="0.3">
      <c r="A45" s="5" t="s">
        <v>13</v>
      </c>
      <c r="B45" s="5" t="s">
        <v>52</v>
      </c>
      <c r="C45" s="12" t="s">
        <v>53</v>
      </c>
      <c r="D45" s="21" t="s">
        <v>174</v>
      </c>
      <c r="E45" s="22">
        <v>4</v>
      </c>
      <c r="F45" s="22" t="s">
        <v>144</v>
      </c>
      <c r="G45" s="22">
        <v>1410806019</v>
      </c>
      <c r="H45" s="22" t="s">
        <v>53</v>
      </c>
      <c r="J45" s="5" t="str">
        <f t="shared" si="0"/>
        <v>財金三２</v>
      </c>
      <c r="K45" s="5" t="str">
        <f>"1410806050"</f>
        <v>1410806050</v>
      </c>
      <c r="L45" s="12" t="str">
        <f>"石旻昕"</f>
        <v>石旻昕</v>
      </c>
      <c r="M45" s="24" t="s">
        <v>167</v>
      </c>
      <c r="N45" s="22">
        <v>1</v>
      </c>
      <c r="O45" s="22" t="s">
        <v>145</v>
      </c>
      <c r="P45" s="22">
        <v>1410806050</v>
      </c>
      <c r="Q45" s="22" t="s">
        <v>203</v>
      </c>
    </row>
    <row r="46" spans="1:17" x14ac:dyDescent="0.3">
      <c r="A46" s="5" t="s">
        <v>13</v>
      </c>
      <c r="B46" s="5" t="s">
        <v>58</v>
      </c>
      <c r="C46" s="12" t="s">
        <v>59</v>
      </c>
      <c r="D46" s="21" t="s">
        <v>174</v>
      </c>
      <c r="E46" s="22">
        <v>5</v>
      </c>
      <c r="F46" s="22" t="s">
        <v>144</v>
      </c>
      <c r="G46" s="22">
        <v>1410806022</v>
      </c>
      <c r="H46" s="22" t="s">
        <v>59</v>
      </c>
      <c r="J46" s="5" t="str">
        <f t="shared" si="0"/>
        <v>財金三２</v>
      </c>
      <c r="K46" s="5" t="str">
        <f>"1410806058"</f>
        <v>1410806058</v>
      </c>
      <c r="L46" s="12" t="str">
        <f>"陳玉芳"</f>
        <v>陳玉芳</v>
      </c>
      <c r="M46" s="24" t="s">
        <v>167</v>
      </c>
      <c r="N46" s="22">
        <v>2</v>
      </c>
      <c r="O46" s="22" t="s">
        <v>145</v>
      </c>
      <c r="P46" s="22">
        <v>1410806058</v>
      </c>
      <c r="Q46" s="22" t="s">
        <v>204</v>
      </c>
    </row>
    <row r="47" spans="1:17" x14ac:dyDescent="0.3">
      <c r="A47" s="5" t="s">
        <v>13</v>
      </c>
      <c r="B47" s="5" t="s">
        <v>76</v>
      </c>
      <c r="C47" s="12" t="s">
        <v>77</v>
      </c>
      <c r="D47" s="21" t="s">
        <v>174</v>
      </c>
      <c r="E47" s="22">
        <v>6</v>
      </c>
      <c r="F47" s="22" t="s">
        <v>144</v>
      </c>
      <c r="G47" s="22">
        <v>1410806031</v>
      </c>
      <c r="H47" s="22" t="s">
        <v>77</v>
      </c>
      <c r="J47" s="5" t="str">
        <f t="shared" si="0"/>
        <v>財金三２</v>
      </c>
      <c r="K47" s="5" t="str">
        <f>"1410806063"</f>
        <v>1410806063</v>
      </c>
      <c r="L47" s="12" t="str">
        <f>"蔡旻芩"</f>
        <v>蔡旻芩</v>
      </c>
      <c r="M47" s="24" t="s">
        <v>167</v>
      </c>
      <c r="N47" s="22">
        <v>3</v>
      </c>
      <c r="O47" s="22" t="s">
        <v>145</v>
      </c>
      <c r="P47" s="22">
        <v>1410806063</v>
      </c>
      <c r="Q47" s="22" t="s">
        <v>205</v>
      </c>
    </row>
    <row r="48" spans="1:17" x14ac:dyDescent="0.3">
      <c r="A48" s="5" t="s">
        <v>13</v>
      </c>
      <c r="B48" s="5" t="s">
        <v>87</v>
      </c>
      <c r="C48" s="12" t="s">
        <v>88</v>
      </c>
      <c r="D48" s="21" t="s">
        <v>174</v>
      </c>
      <c r="E48" s="22">
        <v>7</v>
      </c>
      <c r="F48" s="22" t="s">
        <v>144</v>
      </c>
      <c r="G48" s="22">
        <v>1410806037</v>
      </c>
      <c r="H48" s="22" t="s">
        <v>88</v>
      </c>
      <c r="J48" s="5" t="str">
        <f t="shared" si="0"/>
        <v>財金三２</v>
      </c>
      <c r="K48" s="5" t="str">
        <f>"1410806071"</f>
        <v>1410806071</v>
      </c>
      <c r="L48" s="12" t="str">
        <f>"林佩諭"</f>
        <v>林佩諭</v>
      </c>
      <c r="M48" s="24" t="s">
        <v>167</v>
      </c>
      <c r="N48" s="22">
        <v>4</v>
      </c>
      <c r="O48" s="22" t="s">
        <v>145</v>
      </c>
      <c r="P48" s="22">
        <v>1410806071</v>
      </c>
      <c r="Q48" s="22" t="s">
        <v>206</v>
      </c>
    </row>
    <row r="49" spans="1:17" x14ac:dyDescent="0.3">
      <c r="A49" s="5" t="s">
        <v>13</v>
      </c>
      <c r="B49" s="5" t="s">
        <v>97</v>
      </c>
      <c r="C49" s="12" t="s">
        <v>98</v>
      </c>
      <c r="D49" s="21" t="s">
        <v>174</v>
      </c>
      <c r="E49" s="22">
        <v>8</v>
      </c>
      <c r="F49" s="22" t="s">
        <v>144</v>
      </c>
      <c r="G49" s="22">
        <v>1410806042</v>
      </c>
      <c r="H49" s="22" t="s">
        <v>98</v>
      </c>
      <c r="J49" s="5" t="str">
        <f t="shared" si="0"/>
        <v>財金三２</v>
      </c>
      <c r="K49" s="5" t="str">
        <f>"1410806097"</f>
        <v>1410806097</v>
      </c>
      <c r="L49" s="13" t="str">
        <f>"許少瑜"</f>
        <v>許少瑜</v>
      </c>
      <c r="M49" s="24" t="s">
        <v>167</v>
      </c>
      <c r="N49" s="22">
        <v>5</v>
      </c>
      <c r="O49" s="22" t="s">
        <v>145</v>
      </c>
      <c r="P49" s="22">
        <v>1410806097</v>
      </c>
      <c r="Q49" s="22" t="s">
        <v>207</v>
      </c>
    </row>
    <row r="50" spans="1:17" x14ac:dyDescent="0.3">
      <c r="A50" s="5" t="s">
        <v>13</v>
      </c>
      <c r="B50" s="5" t="s">
        <v>99</v>
      </c>
      <c r="C50" s="12" t="s">
        <v>100</v>
      </c>
      <c r="D50" s="21" t="s">
        <v>174</v>
      </c>
      <c r="E50" s="22">
        <v>9</v>
      </c>
      <c r="F50" s="22" t="s">
        <v>144</v>
      </c>
      <c r="G50" s="22">
        <v>1410806043</v>
      </c>
      <c r="H50" s="22" t="s">
        <v>100</v>
      </c>
    </row>
    <row r="53" spans="1:17" x14ac:dyDescent="0.3">
      <c r="A53" s="5" t="s">
        <v>13</v>
      </c>
      <c r="B53" s="5">
        <v>1410806035</v>
      </c>
      <c r="C53" s="12" t="s">
        <v>136</v>
      </c>
      <c r="D53" s="6"/>
      <c r="E53" s="15"/>
      <c r="F53" s="15"/>
      <c r="G53" s="15"/>
      <c r="H53" s="15"/>
    </row>
  </sheetData>
  <sortState ref="J2:M53">
    <sortCondition ref="M2:M53"/>
    <sortCondition ref="K2:K53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13" zoomScale="110" zoomScaleNormal="110" workbookViewId="0">
      <selection activeCell="H16" sqref="H15:H16"/>
    </sheetView>
  </sheetViews>
  <sheetFormatPr defaultRowHeight="15.6" x14ac:dyDescent="0.3"/>
  <cols>
    <col min="1" max="1" width="4.21875" style="38" bestFit="1" customWidth="1"/>
    <col min="2" max="2" width="12.33203125" style="38" customWidth="1"/>
    <col min="3" max="3" width="17" style="38" customWidth="1"/>
    <col min="4" max="4" width="13.33203125" style="38" customWidth="1"/>
    <col min="5" max="5" width="14" style="38" customWidth="1"/>
    <col min="6" max="6" width="30.88671875" style="37" customWidth="1"/>
    <col min="7" max="7" width="12.33203125" style="38" customWidth="1"/>
    <col min="8" max="8" width="17" style="38" customWidth="1"/>
    <col min="9" max="9" width="13.33203125" style="38" customWidth="1"/>
    <col min="10" max="10" width="14" style="38" customWidth="1"/>
    <col min="11" max="11" width="30.88671875" style="37" customWidth="1"/>
    <col min="12" max="16384" width="8.88671875" style="38"/>
  </cols>
  <sheetData>
    <row r="1" spans="1:11" s="41" customFormat="1" x14ac:dyDescent="0.3">
      <c r="A1" s="42" t="s">
        <v>413</v>
      </c>
      <c r="B1" s="42" t="s">
        <v>0</v>
      </c>
      <c r="C1" s="43" t="s">
        <v>1</v>
      </c>
      <c r="D1" s="42" t="s">
        <v>2</v>
      </c>
      <c r="E1" s="44" t="s">
        <v>210</v>
      </c>
      <c r="F1" s="44" t="s">
        <v>208</v>
      </c>
      <c r="G1" s="42" t="s">
        <v>0</v>
      </c>
      <c r="H1" s="43" t="s">
        <v>1</v>
      </c>
      <c r="I1" s="42" t="s">
        <v>2</v>
      </c>
      <c r="J1" s="44" t="s">
        <v>210</v>
      </c>
      <c r="K1" s="44" t="s">
        <v>216</v>
      </c>
    </row>
    <row r="2" spans="1:11" x14ac:dyDescent="0.3">
      <c r="A2" s="45">
        <v>1</v>
      </c>
      <c r="B2" s="39" t="s">
        <v>392</v>
      </c>
      <c r="C2" s="39" t="s">
        <v>50</v>
      </c>
      <c r="D2" s="39" t="s">
        <v>51</v>
      </c>
      <c r="E2" s="60" t="s">
        <v>399</v>
      </c>
      <c r="F2" s="63" t="s">
        <v>393</v>
      </c>
      <c r="G2" s="39" t="str">
        <f t="shared" ref="G2:G49" si="0">"財金四2"</f>
        <v>財金四2</v>
      </c>
      <c r="H2" s="39" t="str">
        <f>"1410806057"</f>
        <v>1410806057</v>
      </c>
      <c r="I2" s="39" t="str">
        <f>"莊詠婕"</f>
        <v>莊詠婕</v>
      </c>
      <c r="J2" s="60" t="s">
        <v>408</v>
      </c>
      <c r="K2" s="63" t="s">
        <v>217</v>
      </c>
    </row>
    <row r="3" spans="1:11" x14ac:dyDescent="0.3">
      <c r="A3" s="45">
        <v>2</v>
      </c>
      <c r="B3" s="39" t="s">
        <v>392</v>
      </c>
      <c r="C3" s="39" t="s">
        <v>54</v>
      </c>
      <c r="D3" s="39" t="s">
        <v>55</v>
      </c>
      <c r="E3" s="61" t="s">
        <v>6</v>
      </c>
      <c r="F3" s="64"/>
      <c r="G3" s="39" t="str">
        <f t="shared" si="0"/>
        <v>財金四2</v>
      </c>
      <c r="H3" s="39" t="str">
        <f>"1410806060"</f>
        <v>1410806060</v>
      </c>
      <c r="I3" s="39" t="str">
        <f>"游采霖"</f>
        <v>游采霖</v>
      </c>
      <c r="J3" s="61" t="s">
        <v>218</v>
      </c>
      <c r="K3" s="64"/>
    </row>
    <row r="4" spans="1:11" x14ac:dyDescent="0.3">
      <c r="A4" s="45">
        <v>3</v>
      </c>
      <c r="B4" s="39" t="s">
        <v>392</v>
      </c>
      <c r="C4" s="39" t="s">
        <v>62</v>
      </c>
      <c r="D4" s="39" t="s">
        <v>63</v>
      </c>
      <c r="E4" s="61" t="s">
        <v>219</v>
      </c>
      <c r="F4" s="64"/>
      <c r="G4" s="39" t="str">
        <f t="shared" si="0"/>
        <v>財金四2</v>
      </c>
      <c r="H4" s="39" t="str">
        <f>"1410806064"</f>
        <v>1410806064</v>
      </c>
      <c r="I4" s="39" t="str">
        <f>"蔡姄玹"</f>
        <v>蔡姄玹</v>
      </c>
      <c r="J4" s="61" t="s">
        <v>7</v>
      </c>
      <c r="K4" s="64"/>
    </row>
    <row r="5" spans="1:11" x14ac:dyDescent="0.3">
      <c r="A5" s="45">
        <v>4</v>
      </c>
      <c r="B5" s="39" t="s">
        <v>392</v>
      </c>
      <c r="C5" s="39" t="s">
        <v>86</v>
      </c>
      <c r="D5" s="39" t="s">
        <v>220</v>
      </c>
      <c r="E5" s="62" t="s">
        <v>221</v>
      </c>
      <c r="F5" s="65"/>
      <c r="G5" s="39" t="str">
        <f t="shared" si="0"/>
        <v>財金四2</v>
      </c>
      <c r="H5" s="39" t="str">
        <f>"1410806066"</f>
        <v>1410806066</v>
      </c>
      <c r="I5" s="39" t="str">
        <f>"謝昀軒"</f>
        <v>謝昀軒</v>
      </c>
      <c r="J5" s="62" t="s">
        <v>7</v>
      </c>
      <c r="K5" s="65"/>
    </row>
    <row r="6" spans="1:11" x14ac:dyDescent="0.3">
      <c r="A6" s="45">
        <v>5</v>
      </c>
      <c r="B6" s="39" t="s">
        <v>392</v>
      </c>
      <c r="C6" s="39" t="s">
        <v>30</v>
      </c>
      <c r="D6" s="39" t="s">
        <v>31</v>
      </c>
      <c r="E6" s="60" t="s">
        <v>170</v>
      </c>
      <c r="F6" s="63" t="s">
        <v>394</v>
      </c>
      <c r="G6" s="39" t="str">
        <f t="shared" si="0"/>
        <v>財金四2</v>
      </c>
      <c r="H6" s="39" t="str">
        <f>"1410806056"</f>
        <v>1410806056</v>
      </c>
      <c r="I6" s="39" t="str">
        <f>"張耘甄"</f>
        <v>張耘甄</v>
      </c>
      <c r="J6" s="60" t="s">
        <v>175</v>
      </c>
      <c r="K6" s="63" t="s">
        <v>211</v>
      </c>
    </row>
    <row r="7" spans="1:11" x14ac:dyDescent="0.3">
      <c r="A7" s="45">
        <v>6</v>
      </c>
      <c r="B7" s="39" t="s">
        <v>392</v>
      </c>
      <c r="C7" s="39" t="s">
        <v>32</v>
      </c>
      <c r="D7" s="39" t="s">
        <v>33</v>
      </c>
      <c r="E7" s="61" t="s">
        <v>126</v>
      </c>
      <c r="F7" s="64"/>
      <c r="G7" s="39" t="str">
        <f t="shared" si="0"/>
        <v>財金四2</v>
      </c>
      <c r="H7" s="39" t="str">
        <f>"1410806059"</f>
        <v>1410806059</v>
      </c>
      <c r="I7" s="39" t="str">
        <f>"陳雅琪"</f>
        <v>陳雅琪</v>
      </c>
      <c r="J7" s="61" t="s">
        <v>123</v>
      </c>
      <c r="K7" s="64"/>
    </row>
    <row r="8" spans="1:11" x14ac:dyDescent="0.3">
      <c r="A8" s="45">
        <v>7</v>
      </c>
      <c r="B8" s="39" t="s">
        <v>392</v>
      </c>
      <c r="C8" s="39" t="s">
        <v>66</v>
      </c>
      <c r="D8" s="39" t="s">
        <v>67</v>
      </c>
      <c r="E8" s="61" t="s">
        <v>126</v>
      </c>
      <c r="F8" s="64"/>
      <c r="G8" s="39" t="str">
        <f t="shared" si="0"/>
        <v>財金四2</v>
      </c>
      <c r="H8" s="39" t="str">
        <f>"1410806074"</f>
        <v>1410806074</v>
      </c>
      <c r="I8" s="39" t="str">
        <f>"郭美汎"</f>
        <v>郭美汎</v>
      </c>
      <c r="J8" s="61" t="s">
        <v>123</v>
      </c>
      <c r="K8" s="64"/>
    </row>
    <row r="9" spans="1:11" x14ac:dyDescent="0.3">
      <c r="A9" s="45">
        <v>8</v>
      </c>
      <c r="B9" s="39" t="s">
        <v>392</v>
      </c>
      <c r="C9" s="39" t="s">
        <v>109</v>
      </c>
      <c r="D9" s="39" t="s">
        <v>110</v>
      </c>
      <c r="E9" s="62" t="s">
        <v>126</v>
      </c>
      <c r="F9" s="65"/>
      <c r="G9" s="39" t="str">
        <f t="shared" si="0"/>
        <v>財金四2</v>
      </c>
      <c r="H9" s="39" t="str">
        <f>"1410806076"</f>
        <v>1410806076</v>
      </c>
      <c r="I9" s="39" t="str">
        <f>"程宥羚"</f>
        <v>程宥羚</v>
      </c>
      <c r="J9" s="61" t="s">
        <v>123</v>
      </c>
      <c r="K9" s="64"/>
    </row>
    <row r="10" spans="1:11" x14ac:dyDescent="0.3">
      <c r="A10" s="45">
        <v>9</v>
      </c>
      <c r="B10" s="39" t="s">
        <v>392</v>
      </c>
      <c r="C10" s="39" t="s">
        <v>56</v>
      </c>
      <c r="D10" s="39" t="s">
        <v>57</v>
      </c>
      <c r="E10" s="60" t="s">
        <v>400</v>
      </c>
      <c r="F10" s="63" t="s">
        <v>222</v>
      </c>
      <c r="G10" s="39" t="str">
        <f t="shared" si="0"/>
        <v>財金四2</v>
      </c>
      <c r="H10" s="39" t="str">
        <f>"1410806077"</f>
        <v>1410806077</v>
      </c>
      <c r="I10" s="39" t="str">
        <f>"詹羽涵"</f>
        <v>詹羽涵</v>
      </c>
      <c r="J10" s="62" t="s">
        <v>123</v>
      </c>
      <c r="K10" s="65"/>
    </row>
    <row r="11" spans="1:11" x14ac:dyDescent="0.3">
      <c r="A11" s="45">
        <v>10</v>
      </c>
      <c r="B11" s="39" t="s">
        <v>392</v>
      </c>
      <c r="C11" s="39" t="s">
        <v>72</v>
      </c>
      <c r="D11" s="39" t="s">
        <v>73</v>
      </c>
      <c r="E11" s="61" t="s">
        <v>223</v>
      </c>
      <c r="F11" s="64"/>
      <c r="G11" s="39" t="str">
        <f t="shared" si="0"/>
        <v>財金四2</v>
      </c>
      <c r="H11" s="39" t="str">
        <f>"1410806081"</f>
        <v>1410806081</v>
      </c>
      <c r="I11" s="39" t="str">
        <f>"莊維銘"</f>
        <v>莊維銘</v>
      </c>
      <c r="J11" s="60" t="s">
        <v>412</v>
      </c>
      <c r="K11" s="63" t="s">
        <v>212</v>
      </c>
    </row>
    <row r="12" spans="1:11" x14ac:dyDescent="0.3">
      <c r="A12" s="45">
        <v>11</v>
      </c>
      <c r="B12" s="39" t="s">
        <v>392</v>
      </c>
      <c r="C12" s="39" t="s">
        <v>74</v>
      </c>
      <c r="D12" s="39" t="s">
        <v>75</v>
      </c>
      <c r="E12" s="61" t="s">
        <v>223</v>
      </c>
      <c r="F12" s="64"/>
      <c r="G12" s="39" t="str">
        <f t="shared" si="0"/>
        <v>財金四2</v>
      </c>
      <c r="H12" s="39" t="str">
        <f>"1410806086"</f>
        <v>1410806086</v>
      </c>
      <c r="I12" s="39" t="str">
        <f>"邵名嘉"</f>
        <v>邵名嘉</v>
      </c>
      <c r="J12" s="61" t="s">
        <v>224</v>
      </c>
      <c r="K12" s="64"/>
    </row>
    <row r="13" spans="1:11" x14ac:dyDescent="0.3">
      <c r="A13" s="45">
        <v>12</v>
      </c>
      <c r="B13" s="39" t="s">
        <v>392</v>
      </c>
      <c r="C13" s="39" t="s">
        <v>80</v>
      </c>
      <c r="D13" s="39" t="s">
        <v>81</v>
      </c>
      <c r="E13" s="62" t="s">
        <v>223</v>
      </c>
      <c r="F13" s="65"/>
      <c r="G13" s="39" t="str">
        <f t="shared" si="0"/>
        <v>財金四2</v>
      </c>
      <c r="H13" s="39" t="str">
        <f>"1410806089"</f>
        <v>1410806089</v>
      </c>
      <c r="I13" s="39" t="str">
        <f>"陳智翔"</f>
        <v>陳智翔</v>
      </c>
      <c r="J13" s="61" t="s">
        <v>8</v>
      </c>
      <c r="K13" s="64"/>
    </row>
    <row r="14" spans="1:11" x14ac:dyDescent="0.3">
      <c r="A14" s="45">
        <v>13</v>
      </c>
      <c r="B14" s="39" t="s">
        <v>392</v>
      </c>
      <c r="C14" s="39" t="s">
        <v>28</v>
      </c>
      <c r="D14" s="39" t="s">
        <v>29</v>
      </c>
      <c r="E14" s="60" t="s">
        <v>401</v>
      </c>
      <c r="F14" s="63" t="s">
        <v>398</v>
      </c>
      <c r="G14" s="39" t="str">
        <f t="shared" si="0"/>
        <v>財金四2</v>
      </c>
      <c r="H14" s="39" t="str">
        <f>"1410806091"</f>
        <v>1410806091</v>
      </c>
      <c r="I14" s="39" t="str">
        <f>"黃慶洲"</f>
        <v>黃慶洲</v>
      </c>
      <c r="J14" s="62" t="s">
        <v>225</v>
      </c>
      <c r="K14" s="65"/>
    </row>
    <row r="15" spans="1:11" x14ac:dyDescent="0.3">
      <c r="A15" s="45">
        <v>14</v>
      </c>
      <c r="B15" s="39" t="s">
        <v>392</v>
      </c>
      <c r="C15" s="39" t="s">
        <v>36</v>
      </c>
      <c r="D15" s="39" t="s">
        <v>37</v>
      </c>
      <c r="E15" s="61" t="s">
        <v>129</v>
      </c>
      <c r="F15" s="64"/>
      <c r="G15" s="39" t="str">
        <f t="shared" si="0"/>
        <v>財金四2</v>
      </c>
      <c r="H15" s="39" t="str">
        <f>"1410806047"</f>
        <v>1410806047</v>
      </c>
      <c r="I15" s="39" t="str">
        <f>"林思均"</f>
        <v>林思均</v>
      </c>
      <c r="J15" s="60" t="s">
        <v>409</v>
      </c>
      <c r="K15" s="63" t="s">
        <v>226</v>
      </c>
    </row>
    <row r="16" spans="1:11" x14ac:dyDescent="0.3">
      <c r="A16" s="45">
        <v>15</v>
      </c>
      <c r="B16" s="39" t="s">
        <v>392</v>
      </c>
      <c r="C16" s="39" t="s">
        <v>44</v>
      </c>
      <c r="D16" s="39" t="s">
        <v>45</v>
      </c>
      <c r="E16" s="61" t="s">
        <v>129</v>
      </c>
      <c r="F16" s="64"/>
      <c r="G16" s="39" t="str">
        <f t="shared" si="0"/>
        <v>財金四2</v>
      </c>
      <c r="H16" s="39" t="str">
        <f>"1410806051"</f>
        <v>1410806051</v>
      </c>
      <c r="I16" s="39" t="str">
        <f>"吳盈萱"</f>
        <v>吳盈萱</v>
      </c>
      <c r="J16" s="61" t="s">
        <v>227</v>
      </c>
      <c r="K16" s="64"/>
    </row>
    <row r="17" spans="1:11" x14ac:dyDescent="0.3">
      <c r="A17" s="45">
        <v>16</v>
      </c>
      <c r="B17" s="39" t="s">
        <v>392</v>
      </c>
      <c r="C17" s="39" t="s">
        <v>48</v>
      </c>
      <c r="D17" s="39" t="s">
        <v>49</v>
      </c>
      <c r="E17" s="61" t="s">
        <v>129</v>
      </c>
      <c r="F17" s="64"/>
      <c r="G17" s="39" t="str">
        <f t="shared" si="0"/>
        <v>財金四2</v>
      </c>
      <c r="H17" s="39" t="str">
        <f>"1410806054"</f>
        <v>1410806054</v>
      </c>
      <c r="I17" s="39" t="str">
        <f>"林怡妘"</f>
        <v>林怡妘</v>
      </c>
      <c r="J17" s="61" t="s">
        <v>228</v>
      </c>
      <c r="K17" s="64"/>
    </row>
    <row r="18" spans="1:11" x14ac:dyDescent="0.3">
      <c r="A18" s="45">
        <v>17</v>
      </c>
      <c r="B18" s="39" t="s">
        <v>392</v>
      </c>
      <c r="C18" s="39" t="s">
        <v>70</v>
      </c>
      <c r="D18" s="39" t="s">
        <v>71</v>
      </c>
      <c r="E18" s="62" t="s">
        <v>129</v>
      </c>
      <c r="F18" s="65"/>
      <c r="G18" s="39" t="str">
        <f t="shared" si="0"/>
        <v>財金四2</v>
      </c>
      <c r="H18" s="39" t="str">
        <f>"1410806055"</f>
        <v>1410806055</v>
      </c>
      <c r="I18" s="39" t="str">
        <f>"姚又瑄"</f>
        <v>姚又瑄</v>
      </c>
      <c r="J18" s="61" t="s">
        <v>229</v>
      </c>
      <c r="K18" s="64"/>
    </row>
    <row r="19" spans="1:11" x14ac:dyDescent="0.3">
      <c r="A19" s="45">
        <v>18</v>
      </c>
      <c r="B19" s="39" t="s">
        <v>392</v>
      </c>
      <c r="C19" s="39" t="s">
        <v>18</v>
      </c>
      <c r="D19" s="39" t="s">
        <v>19</v>
      </c>
      <c r="E19" s="60" t="s">
        <v>402</v>
      </c>
      <c r="F19" s="63" t="s">
        <v>231</v>
      </c>
      <c r="G19" s="39" t="str">
        <f t="shared" si="0"/>
        <v>財金四2</v>
      </c>
      <c r="H19" s="39" t="str">
        <f>"1410806068"</f>
        <v>1410806068</v>
      </c>
      <c r="I19" s="39" t="str">
        <f>"王翊玟"</f>
        <v>王翊玟</v>
      </c>
      <c r="J19" s="62" t="s">
        <v>10</v>
      </c>
      <c r="K19" s="65"/>
    </row>
    <row r="20" spans="1:11" x14ac:dyDescent="0.3">
      <c r="A20" s="45">
        <v>19</v>
      </c>
      <c r="B20" s="39" t="s">
        <v>392</v>
      </c>
      <c r="C20" s="39" t="s">
        <v>26</v>
      </c>
      <c r="D20" s="39" t="s">
        <v>27</v>
      </c>
      <c r="E20" s="61" t="s">
        <v>230</v>
      </c>
      <c r="F20" s="64"/>
      <c r="G20" s="39" t="str">
        <f t="shared" si="0"/>
        <v>財金四2</v>
      </c>
      <c r="H20" s="39" t="str">
        <f>"1410806053"</f>
        <v>1410806053</v>
      </c>
      <c r="I20" s="39" t="str">
        <f>"李昀珊"</f>
        <v>李昀珊</v>
      </c>
      <c r="J20" s="60" t="s">
        <v>173</v>
      </c>
      <c r="K20" s="63" t="s">
        <v>213</v>
      </c>
    </row>
    <row r="21" spans="1:11" x14ac:dyDescent="0.3">
      <c r="A21" s="45">
        <v>20</v>
      </c>
      <c r="B21" s="39" t="s">
        <v>392</v>
      </c>
      <c r="C21" s="39" t="s">
        <v>64</v>
      </c>
      <c r="D21" s="39" t="s">
        <v>65</v>
      </c>
      <c r="E21" s="61" t="s">
        <v>232</v>
      </c>
      <c r="F21" s="64"/>
      <c r="G21" s="39" t="str">
        <f t="shared" si="0"/>
        <v>財金四2</v>
      </c>
      <c r="H21" s="39" t="str">
        <f>"1410806062"</f>
        <v>1410806062</v>
      </c>
      <c r="I21" s="39" t="str">
        <f>"詹芷瑜"</f>
        <v>詹芷瑜</v>
      </c>
      <c r="J21" s="61" t="s">
        <v>233</v>
      </c>
      <c r="K21" s="64"/>
    </row>
    <row r="22" spans="1:11" x14ac:dyDescent="0.3">
      <c r="A22" s="45">
        <v>21</v>
      </c>
      <c r="B22" s="39" t="s">
        <v>392</v>
      </c>
      <c r="C22" s="39" t="s">
        <v>89</v>
      </c>
      <c r="D22" s="39" t="s">
        <v>90</v>
      </c>
      <c r="E22" s="61" t="s">
        <v>230</v>
      </c>
      <c r="F22" s="64"/>
      <c r="G22" s="39" t="str">
        <f t="shared" si="0"/>
        <v>財金四2</v>
      </c>
      <c r="H22" s="39" t="str">
        <f>"1410806069"</f>
        <v>1410806069</v>
      </c>
      <c r="I22" s="39" t="str">
        <f>"石若彣"</f>
        <v>石若彣</v>
      </c>
      <c r="J22" s="61" t="s">
        <v>5</v>
      </c>
      <c r="K22" s="64"/>
    </row>
    <row r="23" spans="1:11" x14ac:dyDescent="0.3">
      <c r="A23" s="45">
        <v>22</v>
      </c>
      <c r="B23" s="39" t="s">
        <v>392</v>
      </c>
      <c r="C23" s="39" t="s">
        <v>111</v>
      </c>
      <c r="D23" s="39" t="s">
        <v>112</v>
      </c>
      <c r="E23" s="62" t="s">
        <v>11</v>
      </c>
      <c r="F23" s="65"/>
      <c r="G23" s="39" t="str">
        <f t="shared" si="0"/>
        <v>財金四2</v>
      </c>
      <c r="H23" s="39" t="str">
        <f>"1410806075"</f>
        <v>1410806075</v>
      </c>
      <c r="I23" s="39" t="str">
        <f>"傅雅琴"</f>
        <v>傅雅琴</v>
      </c>
      <c r="J23" s="62" t="s">
        <v>5</v>
      </c>
      <c r="K23" s="65"/>
    </row>
    <row r="24" spans="1:11" x14ac:dyDescent="0.3">
      <c r="A24" s="45">
        <v>23</v>
      </c>
      <c r="B24" s="39" t="s">
        <v>392</v>
      </c>
      <c r="C24" s="39" t="s">
        <v>34</v>
      </c>
      <c r="D24" s="39" t="s">
        <v>35</v>
      </c>
      <c r="E24" s="60" t="s">
        <v>140</v>
      </c>
      <c r="F24" s="63" t="s">
        <v>395</v>
      </c>
      <c r="G24" s="39" t="str">
        <f t="shared" si="0"/>
        <v>財金四2</v>
      </c>
      <c r="H24" s="39" t="str">
        <f>"1410806080"</f>
        <v>1410806080</v>
      </c>
      <c r="I24" s="39" t="str">
        <f>"洪證淇"</f>
        <v>洪證淇</v>
      </c>
      <c r="J24" s="60" t="s">
        <v>173</v>
      </c>
      <c r="K24" s="63" t="s">
        <v>235</v>
      </c>
    </row>
    <row r="25" spans="1:11" x14ac:dyDescent="0.3">
      <c r="A25" s="45">
        <v>24</v>
      </c>
      <c r="B25" s="39" t="s">
        <v>392</v>
      </c>
      <c r="C25" s="39" t="s">
        <v>42</v>
      </c>
      <c r="D25" s="39" t="s">
        <v>43</v>
      </c>
      <c r="E25" s="61" t="s">
        <v>4</v>
      </c>
      <c r="F25" s="64"/>
      <c r="G25" s="39" t="str">
        <f t="shared" si="0"/>
        <v>財金四2</v>
      </c>
      <c r="H25" s="39" t="str">
        <f>"1410806082"</f>
        <v>1410806082</v>
      </c>
      <c r="I25" s="39" t="str">
        <f>"許躍騰"</f>
        <v>許躍騰</v>
      </c>
      <c r="J25" s="61" t="s">
        <v>131</v>
      </c>
      <c r="K25" s="64"/>
    </row>
    <row r="26" spans="1:11" x14ac:dyDescent="0.3">
      <c r="A26" s="45">
        <v>25</v>
      </c>
      <c r="B26" s="39" t="s">
        <v>392</v>
      </c>
      <c r="C26" s="39" t="s">
        <v>46</v>
      </c>
      <c r="D26" s="39" t="s">
        <v>47</v>
      </c>
      <c r="E26" s="61" t="s">
        <v>234</v>
      </c>
      <c r="F26" s="64"/>
      <c r="G26" s="39" t="str">
        <f t="shared" si="0"/>
        <v>財金四2</v>
      </c>
      <c r="H26" s="39" t="str">
        <f>"1410806083"</f>
        <v>1410806083</v>
      </c>
      <c r="I26" s="39" t="str">
        <f>"賴冠順"</f>
        <v>賴冠順</v>
      </c>
      <c r="J26" s="61" t="s">
        <v>131</v>
      </c>
      <c r="K26" s="64"/>
    </row>
    <row r="27" spans="1:11" x14ac:dyDescent="0.3">
      <c r="A27" s="45">
        <v>26</v>
      </c>
      <c r="B27" s="39" t="s">
        <v>392</v>
      </c>
      <c r="C27" s="39" t="s">
        <v>60</v>
      </c>
      <c r="D27" s="39" t="s">
        <v>61</v>
      </c>
      <c r="E27" s="61" t="s">
        <v>234</v>
      </c>
      <c r="F27" s="64"/>
      <c r="G27" s="39" t="str">
        <f t="shared" si="0"/>
        <v>財金四2</v>
      </c>
      <c r="H27" s="39" t="str">
        <f>"1410806084"</f>
        <v>1410806084</v>
      </c>
      <c r="I27" s="39" t="str">
        <f>"王聖齊"</f>
        <v>王聖齊</v>
      </c>
      <c r="J27" s="61" t="s">
        <v>131</v>
      </c>
      <c r="K27" s="64"/>
    </row>
    <row r="28" spans="1:11" x14ac:dyDescent="0.3">
      <c r="A28" s="45">
        <v>27</v>
      </c>
      <c r="B28" s="39" t="s">
        <v>392</v>
      </c>
      <c r="C28" s="39" t="s">
        <v>68</v>
      </c>
      <c r="D28" s="39" t="s">
        <v>69</v>
      </c>
      <c r="E28" s="62" t="s">
        <v>4</v>
      </c>
      <c r="F28" s="65"/>
      <c r="G28" s="39" t="str">
        <f t="shared" si="0"/>
        <v>財金四2</v>
      </c>
      <c r="H28" s="39" t="str">
        <f>"1410806088"</f>
        <v>1410806088</v>
      </c>
      <c r="I28" s="39" t="str">
        <f>"許家源"</f>
        <v>許家源</v>
      </c>
      <c r="J28" s="61" t="s">
        <v>131</v>
      </c>
      <c r="K28" s="64"/>
    </row>
    <row r="29" spans="1:11" x14ac:dyDescent="0.3">
      <c r="A29" s="45">
        <v>28</v>
      </c>
      <c r="B29" s="39" t="s">
        <v>392</v>
      </c>
      <c r="C29" s="39" t="s">
        <v>91</v>
      </c>
      <c r="D29" s="39" t="s">
        <v>92</v>
      </c>
      <c r="E29" s="60" t="s">
        <v>403</v>
      </c>
      <c r="F29" s="63" t="s">
        <v>236</v>
      </c>
      <c r="G29" s="39" t="str">
        <f t="shared" si="0"/>
        <v>財金四2</v>
      </c>
      <c r="H29" s="39" t="str">
        <f>"1410806090"</f>
        <v>1410806090</v>
      </c>
      <c r="I29" s="39" t="str">
        <f>"黃家保"</f>
        <v>黃家保</v>
      </c>
      <c r="J29" s="62" t="s">
        <v>131</v>
      </c>
      <c r="K29" s="65"/>
    </row>
    <row r="30" spans="1:11" x14ac:dyDescent="0.3">
      <c r="A30" s="45">
        <v>29</v>
      </c>
      <c r="B30" s="39" t="s">
        <v>392</v>
      </c>
      <c r="C30" s="39" t="s">
        <v>93</v>
      </c>
      <c r="D30" s="39" t="s">
        <v>94</v>
      </c>
      <c r="E30" s="61" t="s">
        <v>128</v>
      </c>
      <c r="F30" s="64"/>
      <c r="G30" s="39" t="str">
        <f t="shared" si="0"/>
        <v>財金四2</v>
      </c>
      <c r="H30" s="39" t="str">
        <f>"1410806052"</f>
        <v>1410806052</v>
      </c>
      <c r="I30" s="39" t="str">
        <f>"宋雁荻"</f>
        <v>宋雁荻</v>
      </c>
      <c r="J30" s="60" t="s">
        <v>410</v>
      </c>
      <c r="K30" s="63" t="s">
        <v>215</v>
      </c>
    </row>
    <row r="31" spans="1:11" x14ac:dyDescent="0.3">
      <c r="A31" s="45">
        <v>30</v>
      </c>
      <c r="B31" s="39" t="s">
        <v>392</v>
      </c>
      <c r="C31" s="39" t="s">
        <v>105</v>
      </c>
      <c r="D31" s="39" t="s">
        <v>106</v>
      </c>
      <c r="E31" s="61" t="s">
        <v>128</v>
      </c>
      <c r="F31" s="64"/>
      <c r="G31" s="39" t="str">
        <f t="shared" si="0"/>
        <v>財金四2</v>
      </c>
      <c r="H31" s="39" t="str">
        <f>"1410806065"</f>
        <v>1410806065</v>
      </c>
      <c r="I31" s="39" t="str">
        <f>"戴宏貞"</f>
        <v>戴宏貞</v>
      </c>
      <c r="J31" s="61" t="s">
        <v>214</v>
      </c>
      <c r="K31" s="64"/>
    </row>
    <row r="32" spans="1:11" x14ac:dyDescent="0.3">
      <c r="A32" s="45">
        <v>31</v>
      </c>
      <c r="B32" s="39" t="s">
        <v>392</v>
      </c>
      <c r="C32" s="39" t="s">
        <v>107</v>
      </c>
      <c r="D32" s="39" t="s">
        <v>108</v>
      </c>
      <c r="E32" s="62" t="s">
        <v>128</v>
      </c>
      <c r="F32" s="65"/>
      <c r="G32" s="39" t="str">
        <f t="shared" si="0"/>
        <v>財金四2</v>
      </c>
      <c r="H32" s="39" t="str">
        <f>"1410806079"</f>
        <v>1410806079</v>
      </c>
      <c r="I32" s="39" t="str">
        <f>"王傳硯"</f>
        <v>王傳硯</v>
      </c>
      <c r="J32" s="61" t="s">
        <v>237</v>
      </c>
      <c r="K32" s="64"/>
    </row>
    <row r="33" spans="1:11" x14ac:dyDescent="0.3">
      <c r="A33" s="45">
        <v>32</v>
      </c>
      <c r="B33" s="39" t="s">
        <v>392</v>
      </c>
      <c r="C33" s="39" t="s">
        <v>22</v>
      </c>
      <c r="D33" s="39" t="s">
        <v>23</v>
      </c>
      <c r="E33" s="60" t="s">
        <v>404</v>
      </c>
      <c r="F33" s="63" t="s">
        <v>238</v>
      </c>
      <c r="G33" s="39" t="str">
        <f t="shared" si="0"/>
        <v>財金四2</v>
      </c>
      <c r="H33" s="39" t="str">
        <f>"1410806085"</f>
        <v>1410806085</v>
      </c>
      <c r="I33" s="39" t="str">
        <f>"李浩宇"</f>
        <v>李浩宇</v>
      </c>
      <c r="J33" s="61" t="s">
        <v>239</v>
      </c>
      <c r="K33" s="64"/>
    </row>
    <row r="34" spans="1:11" x14ac:dyDescent="0.3">
      <c r="A34" s="45">
        <v>33</v>
      </c>
      <c r="B34" s="39" t="s">
        <v>392</v>
      </c>
      <c r="C34" s="39" t="s">
        <v>38</v>
      </c>
      <c r="D34" s="39" t="s">
        <v>39</v>
      </c>
      <c r="E34" s="61" t="s">
        <v>240</v>
      </c>
      <c r="F34" s="64"/>
      <c r="G34" s="39" t="str">
        <f t="shared" si="0"/>
        <v>財金四2</v>
      </c>
      <c r="H34" s="39" t="str">
        <f>"1410806087"</f>
        <v>1410806087</v>
      </c>
      <c r="I34" s="39" t="str">
        <f>"張翔堉"</f>
        <v>張翔堉</v>
      </c>
      <c r="J34" s="62" t="s">
        <v>239</v>
      </c>
      <c r="K34" s="65"/>
    </row>
    <row r="35" spans="1:11" x14ac:dyDescent="0.3">
      <c r="A35" s="45">
        <v>34</v>
      </c>
      <c r="B35" s="39" t="s">
        <v>392</v>
      </c>
      <c r="C35" s="39" t="s">
        <v>40</v>
      </c>
      <c r="D35" s="39" t="s">
        <v>41</v>
      </c>
      <c r="E35" s="61" t="s">
        <v>240</v>
      </c>
      <c r="F35" s="64"/>
      <c r="G35" s="39" t="str">
        <f t="shared" si="0"/>
        <v>財金四2</v>
      </c>
      <c r="H35" s="39" t="str">
        <f>"1410806048"</f>
        <v>1410806048</v>
      </c>
      <c r="I35" s="39" t="str">
        <f>"許晏禎"</f>
        <v>許晏禎</v>
      </c>
      <c r="J35" s="60" t="s">
        <v>411</v>
      </c>
      <c r="K35" s="63" t="s">
        <v>241</v>
      </c>
    </row>
    <row r="36" spans="1:11" x14ac:dyDescent="0.3">
      <c r="A36" s="45">
        <v>35</v>
      </c>
      <c r="B36" s="39" t="s">
        <v>392</v>
      </c>
      <c r="C36" s="39" t="s">
        <v>78</v>
      </c>
      <c r="D36" s="39" t="s">
        <v>79</v>
      </c>
      <c r="E36" s="62" t="s">
        <v>240</v>
      </c>
      <c r="F36" s="65"/>
      <c r="G36" s="39" t="str">
        <f t="shared" si="0"/>
        <v>財金四2</v>
      </c>
      <c r="H36" s="39" t="str">
        <f>"1410806049"</f>
        <v>1410806049</v>
      </c>
      <c r="I36" s="39" t="str">
        <f>"賴宣涵"</f>
        <v>賴宣涵</v>
      </c>
      <c r="J36" s="61" t="s">
        <v>130</v>
      </c>
      <c r="K36" s="64"/>
    </row>
    <row r="37" spans="1:11" x14ac:dyDescent="0.3">
      <c r="A37" s="45">
        <v>36</v>
      </c>
      <c r="B37" s="39" t="s">
        <v>392</v>
      </c>
      <c r="C37" s="39" t="s">
        <v>82</v>
      </c>
      <c r="D37" s="39" t="s">
        <v>83</v>
      </c>
      <c r="E37" s="60" t="s">
        <v>407</v>
      </c>
      <c r="F37" s="63" t="s">
        <v>242</v>
      </c>
      <c r="G37" s="39" t="str">
        <f t="shared" si="0"/>
        <v>財金四2</v>
      </c>
      <c r="H37" s="39" t="str">
        <f>"1410806061"</f>
        <v>1410806061</v>
      </c>
      <c r="I37" s="39" t="str">
        <f>"黃莘雅"</f>
        <v>黃莘雅</v>
      </c>
      <c r="J37" s="61" t="s">
        <v>130</v>
      </c>
      <c r="K37" s="64"/>
    </row>
    <row r="38" spans="1:11" x14ac:dyDescent="0.3">
      <c r="A38" s="45">
        <v>37</v>
      </c>
      <c r="B38" s="39" t="s">
        <v>392</v>
      </c>
      <c r="C38" s="39" t="s">
        <v>95</v>
      </c>
      <c r="D38" s="39" t="s">
        <v>96</v>
      </c>
      <c r="E38" s="61" t="s">
        <v>224</v>
      </c>
      <c r="F38" s="64"/>
      <c r="G38" s="39" t="str">
        <f t="shared" si="0"/>
        <v>財金四2</v>
      </c>
      <c r="H38" s="39" t="str">
        <f>"1410806070"</f>
        <v>1410806070</v>
      </c>
      <c r="I38" s="39" t="str">
        <f>"周宥妘"</f>
        <v>周宥妘</v>
      </c>
      <c r="J38" s="61" t="s">
        <v>130</v>
      </c>
      <c r="K38" s="64"/>
    </row>
    <row r="39" spans="1:11" x14ac:dyDescent="0.3">
      <c r="A39" s="45">
        <v>38</v>
      </c>
      <c r="B39" s="39" t="s">
        <v>392</v>
      </c>
      <c r="C39" s="39" t="s">
        <v>101</v>
      </c>
      <c r="D39" s="39" t="s">
        <v>102</v>
      </c>
      <c r="E39" s="61" t="s">
        <v>224</v>
      </c>
      <c r="F39" s="64"/>
      <c r="G39" s="39" t="str">
        <f t="shared" si="0"/>
        <v>財金四2</v>
      </c>
      <c r="H39" s="39" t="str">
        <f>"1410806078"</f>
        <v>1410806078</v>
      </c>
      <c r="I39" s="39" t="str">
        <f>"劉佳瑄"</f>
        <v>劉佳瑄</v>
      </c>
      <c r="J39" s="61" t="s">
        <v>130</v>
      </c>
      <c r="K39" s="64"/>
    </row>
    <row r="40" spans="1:11" x14ac:dyDescent="0.3">
      <c r="A40" s="45">
        <v>39</v>
      </c>
      <c r="B40" s="39" t="s">
        <v>392</v>
      </c>
      <c r="C40" s="39" t="s">
        <v>103</v>
      </c>
      <c r="D40" s="39" t="s">
        <v>104</v>
      </c>
      <c r="E40" s="62" t="s">
        <v>224</v>
      </c>
      <c r="F40" s="65"/>
      <c r="G40" s="39" t="str">
        <f t="shared" si="0"/>
        <v>財金四2</v>
      </c>
      <c r="H40" s="39" t="str">
        <f>"1410806096"</f>
        <v>1410806096</v>
      </c>
      <c r="I40" s="39" t="str">
        <f>"范蔆玲"</f>
        <v>范蔆玲</v>
      </c>
      <c r="J40" s="62" t="s">
        <v>130</v>
      </c>
      <c r="K40" s="65"/>
    </row>
    <row r="41" spans="1:11" x14ac:dyDescent="0.3">
      <c r="A41" s="45">
        <v>40</v>
      </c>
      <c r="B41" s="39" t="s">
        <v>392</v>
      </c>
      <c r="C41" s="39" t="s">
        <v>24</v>
      </c>
      <c r="D41" s="39" t="s">
        <v>25</v>
      </c>
      <c r="E41" s="60" t="s">
        <v>405</v>
      </c>
      <c r="F41" s="63" t="s">
        <v>396</v>
      </c>
      <c r="G41" s="39" t="str">
        <f t="shared" si="0"/>
        <v>財金四2</v>
      </c>
      <c r="H41" s="39" t="str">
        <f>"1410806050"</f>
        <v>1410806050</v>
      </c>
      <c r="I41" s="39" t="str">
        <f>"石旻昕"</f>
        <v>石旻昕</v>
      </c>
      <c r="J41" s="60" t="s">
        <v>139</v>
      </c>
      <c r="K41" s="63" t="s">
        <v>245</v>
      </c>
    </row>
    <row r="42" spans="1:11" x14ac:dyDescent="0.3">
      <c r="A42" s="45">
        <v>41</v>
      </c>
      <c r="B42" s="39" t="s">
        <v>392</v>
      </c>
      <c r="C42" s="39" t="s">
        <v>52</v>
      </c>
      <c r="D42" s="39" t="s">
        <v>53</v>
      </c>
      <c r="E42" s="61" t="s">
        <v>243</v>
      </c>
      <c r="F42" s="64"/>
      <c r="G42" s="39" t="str">
        <f t="shared" si="0"/>
        <v>財金四2</v>
      </c>
      <c r="H42" s="39" t="str">
        <f>"1410806058"</f>
        <v>1410806058</v>
      </c>
      <c r="I42" s="39" t="str">
        <f>"陳玉芳"</f>
        <v>陳玉芳</v>
      </c>
      <c r="J42" s="61" t="s">
        <v>244</v>
      </c>
      <c r="K42" s="64"/>
    </row>
    <row r="43" spans="1:11" x14ac:dyDescent="0.3">
      <c r="A43" s="45">
        <v>42</v>
      </c>
      <c r="B43" s="39" t="s">
        <v>392</v>
      </c>
      <c r="C43" s="39" t="s">
        <v>58</v>
      </c>
      <c r="D43" s="39" t="s">
        <v>59</v>
      </c>
      <c r="E43" s="61" t="s">
        <v>243</v>
      </c>
      <c r="F43" s="64"/>
      <c r="G43" s="39" t="str">
        <f t="shared" si="0"/>
        <v>財金四2</v>
      </c>
      <c r="H43" s="39" t="str">
        <f>"1410806063"</f>
        <v>1410806063</v>
      </c>
      <c r="I43" s="39" t="str">
        <f>"蔡旻芩"</f>
        <v>蔡旻芩</v>
      </c>
      <c r="J43" s="61" t="s">
        <v>244</v>
      </c>
      <c r="K43" s="64"/>
    </row>
    <row r="44" spans="1:11" x14ac:dyDescent="0.3">
      <c r="A44" s="45">
        <v>43</v>
      </c>
      <c r="B44" s="39" t="s">
        <v>392</v>
      </c>
      <c r="C44" s="39" t="s">
        <v>76</v>
      </c>
      <c r="D44" s="39" t="s">
        <v>77</v>
      </c>
      <c r="E44" s="62" t="s">
        <v>243</v>
      </c>
      <c r="F44" s="65"/>
      <c r="G44" s="39" t="str">
        <f t="shared" si="0"/>
        <v>財金四2</v>
      </c>
      <c r="H44" s="39" t="str">
        <f>"1410806071"</f>
        <v>1410806071</v>
      </c>
      <c r="I44" s="39" t="str">
        <f>"林佩諭"</f>
        <v>林佩諭</v>
      </c>
      <c r="J44" s="61" t="s">
        <v>139</v>
      </c>
      <c r="K44" s="64"/>
    </row>
    <row r="45" spans="1:11" x14ac:dyDescent="0.3">
      <c r="A45" s="45">
        <v>44</v>
      </c>
      <c r="B45" s="39" t="s">
        <v>392</v>
      </c>
      <c r="C45" s="39" t="s">
        <v>16</v>
      </c>
      <c r="D45" s="39" t="s">
        <v>17</v>
      </c>
      <c r="E45" s="60" t="s">
        <v>406</v>
      </c>
      <c r="F45" s="63" t="s">
        <v>397</v>
      </c>
      <c r="G45" s="39" t="str">
        <f t="shared" si="0"/>
        <v>財金四2</v>
      </c>
      <c r="H45" s="39" t="str">
        <f>"1410806097"</f>
        <v>1410806097</v>
      </c>
      <c r="I45" s="40" t="str">
        <f>"許少瑜"</f>
        <v>許少瑜</v>
      </c>
      <c r="J45" s="62" t="s">
        <v>244</v>
      </c>
      <c r="K45" s="65"/>
    </row>
    <row r="46" spans="1:11" x14ac:dyDescent="0.3">
      <c r="A46" s="45">
        <v>45</v>
      </c>
      <c r="B46" s="39" t="s">
        <v>392</v>
      </c>
      <c r="C46" s="39" t="s">
        <v>20</v>
      </c>
      <c r="D46" s="39" t="s">
        <v>21</v>
      </c>
      <c r="E46" s="61" t="s">
        <v>127</v>
      </c>
      <c r="F46" s="64"/>
      <c r="G46" s="39" t="str">
        <f t="shared" si="0"/>
        <v>財金四2</v>
      </c>
      <c r="H46" s="39" t="str">
        <f>"1410806073"</f>
        <v>1410806073</v>
      </c>
      <c r="I46" s="39" t="str">
        <f>"張蕙讌"</f>
        <v>張蕙讌</v>
      </c>
      <c r="J46" s="60" t="s">
        <v>138</v>
      </c>
      <c r="K46" s="63" t="s">
        <v>247</v>
      </c>
    </row>
    <row r="47" spans="1:11" x14ac:dyDescent="0.3">
      <c r="A47" s="45">
        <v>46</v>
      </c>
      <c r="B47" s="39" t="s">
        <v>392</v>
      </c>
      <c r="C47" s="39" t="s">
        <v>87</v>
      </c>
      <c r="D47" s="39" t="s">
        <v>88</v>
      </c>
      <c r="E47" s="61" t="s">
        <v>127</v>
      </c>
      <c r="F47" s="64"/>
      <c r="G47" s="39" t="str">
        <f t="shared" si="0"/>
        <v>財金四2</v>
      </c>
      <c r="H47" s="39" t="str">
        <f>"1410806094"</f>
        <v>1410806094</v>
      </c>
      <c r="I47" s="39" t="str">
        <f>"鄧金英"</f>
        <v>鄧金英</v>
      </c>
      <c r="J47" s="61" t="s">
        <v>246</v>
      </c>
      <c r="K47" s="64"/>
    </row>
    <row r="48" spans="1:11" x14ac:dyDescent="0.3">
      <c r="A48" s="45">
        <v>47</v>
      </c>
      <c r="B48" s="39" t="s">
        <v>392</v>
      </c>
      <c r="C48" s="39" t="s">
        <v>97</v>
      </c>
      <c r="D48" s="39" t="s">
        <v>98</v>
      </c>
      <c r="E48" s="61" t="s">
        <v>127</v>
      </c>
      <c r="F48" s="64"/>
      <c r="G48" s="39" t="str">
        <f t="shared" si="0"/>
        <v>財金四2</v>
      </c>
      <c r="H48" s="39" t="str">
        <f>"1410806095"</f>
        <v>1410806095</v>
      </c>
      <c r="I48" s="39" t="str">
        <f>"佘欣潓"</f>
        <v>佘欣潓</v>
      </c>
      <c r="J48" s="61" t="s">
        <v>246</v>
      </c>
      <c r="K48" s="64"/>
    </row>
    <row r="49" spans="1:11" x14ac:dyDescent="0.3">
      <c r="A49" s="45">
        <v>48</v>
      </c>
      <c r="B49" s="39" t="s">
        <v>392</v>
      </c>
      <c r="C49" s="39" t="s">
        <v>99</v>
      </c>
      <c r="D49" s="39" t="s">
        <v>100</v>
      </c>
      <c r="E49" s="62" t="s">
        <v>127</v>
      </c>
      <c r="F49" s="65"/>
      <c r="G49" s="39" t="str">
        <f t="shared" si="0"/>
        <v>財金四2</v>
      </c>
      <c r="H49" s="39" t="str">
        <f>"1410806098"</f>
        <v>1410806098</v>
      </c>
      <c r="I49" s="39" t="str">
        <f>"林嘉鴻"</f>
        <v>林嘉鴻</v>
      </c>
      <c r="J49" s="62" t="s">
        <v>246</v>
      </c>
      <c r="K49" s="65"/>
    </row>
  </sheetData>
  <mergeCells count="42">
    <mergeCell ref="K24:K29"/>
    <mergeCell ref="K30:K34"/>
    <mergeCell ref="K35:K40"/>
    <mergeCell ref="K41:K45"/>
    <mergeCell ref="K46:K49"/>
    <mergeCell ref="F29:F32"/>
    <mergeCell ref="F33:F36"/>
    <mergeCell ref="F37:F40"/>
    <mergeCell ref="F41:F44"/>
    <mergeCell ref="F45:F49"/>
    <mergeCell ref="K2:K5"/>
    <mergeCell ref="K6:K10"/>
    <mergeCell ref="K11:K14"/>
    <mergeCell ref="K15:K19"/>
    <mergeCell ref="K20:K23"/>
    <mergeCell ref="F24:F28"/>
    <mergeCell ref="F2:F5"/>
    <mergeCell ref="F6:F9"/>
    <mergeCell ref="F10:F13"/>
    <mergeCell ref="F14:F18"/>
    <mergeCell ref="F19:F23"/>
    <mergeCell ref="E2:E5"/>
    <mergeCell ref="E6:E9"/>
    <mergeCell ref="E10:E13"/>
    <mergeCell ref="E14:E18"/>
    <mergeCell ref="E19:E23"/>
    <mergeCell ref="E45:E49"/>
    <mergeCell ref="J2:J5"/>
    <mergeCell ref="J6:J10"/>
    <mergeCell ref="J11:J14"/>
    <mergeCell ref="J15:J19"/>
    <mergeCell ref="J20:J23"/>
    <mergeCell ref="J24:J29"/>
    <mergeCell ref="J30:J34"/>
    <mergeCell ref="J35:J40"/>
    <mergeCell ref="J41:J45"/>
    <mergeCell ref="J46:J49"/>
    <mergeCell ref="E24:E28"/>
    <mergeCell ref="E29:E32"/>
    <mergeCell ref="E33:E36"/>
    <mergeCell ref="E37:E40"/>
    <mergeCell ref="E41:E44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8"/>
  <sheetViews>
    <sheetView workbookViewId="0">
      <selection activeCell="D3" sqref="D3"/>
    </sheetView>
  </sheetViews>
  <sheetFormatPr defaultRowHeight="25.8" x14ac:dyDescent="0.3"/>
  <cols>
    <col min="1" max="1" width="27.88671875" style="56" customWidth="1"/>
    <col min="2" max="7" width="22.5546875" style="56" customWidth="1"/>
    <col min="8" max="16384" width="8.88671875" style="56"/>
  </cols>
  <sheetData>
    <row r="1" spans="1:7" ht="57" customHeight="1" x14ac:dyDescent="0.3">
      <c r="A1" s="66" t="s">
        <v>516</v>
      </c>
      <c r="B1" s="66"/>
      <c r="C1" s="66"/>
      <c r="D1" s="66"/>
      <c r="E1" s="66"/>
      <c r="F1" s="66"/>
      <c r="G1" s="66"/>
    </row>
    <row r="2" spans="1:7" ht="61.2" customHeight="1" x14ac:dyDescent="0.3">
      <c r="A2" s="57" t="s">
        <v>441</v>
      </c>
      <c r="B2" s="57" t="s">
        <v>442</v>
      </c>
      <c r="C2" s="57" t="s">
        <v>443</v>
      </c>
      <c r="D2" s="57" t="s">
        <v>444</v>
      </c>
      <c r="E2" s="57" t="s">
        <v>445</v>
      </c>
      <c r="F2" s="57" t="s">
        <v>446</v>
      </c>
      <c r="G2" s="57" t="s">
        <v>447</v>
      </c>
    </row>
    <row r="3" spans="1:7" ht="73.8" customHeight="1" x14ac:dyDescent="0.3">
      <c r="A3" s="57" t="s">
        <v>391</v>
      </c>
      <c r="B3" s="58" t="s">
        <v>415</v>
      </c>
      <c r="C3" s="58" t="s">
        <v>416</v>
      </c>
      <c r="D3" s="58" t="s">
        <v>417</v>
      </c>
      <c r="E3" s="58" t="s">
        <v>418</v>
      </c>
      <c r="F3" s="58" t="s">
        <v>419</v>
      </c>
      <c r="G3" s="58" t="s">
        <v>420</v>
      </c>
    </row>
    <row r="4" spans="1:7" ht="73.8" customHeight="1" x14ac:dyDescent="0.3">
      <c r="A4" s="57" t="s">
        <v>390</v>
      </c>
      <c r="B4" s="58" t="s">
        <v>421</v>
      </c>
      <c r="C4" s="58" t="s">
        <v>422</v>
      </c>
      <c r="D4" s="58" t="s">
        <v>423</v>
      </c>
      <c r="E4" s="58" t="s">
        <v>424</v>
      </c>
      <c r="F4" s="58" t="s">
        <v>425</v>
      </c>
      <c r="G4" s="58" t="s">
        <v>426</v>
      </c>
    </row>
    <row r="5" spans="1:7" ht="73.8" customHeight="1" x14ac:dyDescent="0.3">
      <c r="A5" s="57" t="s">
        <v>389</v>
      </c>
      <c r="B5" s="58" t="s">
        <v>427</v>
      </c>
      <c r="C5" s="58" t="s">
        <v>428</v>
      </c>
      <c r="D5" s="58" t="s">
        <v>429</v>
      </c>
      <c r="E5" s="58" t="s">
        <v>430</v>
      </c>
      <c r="F5" s="58" t="s">
        <v>431</v>
      </c>
      <c r="G5" s="58" t="s">
        <v>432</v>
      </c>
    </row>
    <row r="6" spans="1:7" ht="73.8" customHeight="1" x14ac:dyDescent="0.3">
      <c r="A6" s="57" t="s">
        <v>388</v>
      </c>
      <c r="B6" s="67" t="s">
        <v>517</v>
      </c>
      <c r="C6" s="67"/>
      <c r="D6" s="67"/>
      <c r="E6" s="58" t="s">
        <v>433</v>
      </c>
      <c r="F6" s="58" t="s">
        <v>434</v>
      </c>
      <c r="G6" s="58" t="s">
        <v>435</v>
      </c>
    </row>
    <row r="7" spans="1:7" ht="73.8" customHeight="1" x14ac:dyDescent="0.3">
      <c r="A7" s="57" t="s">
        <v>448</v>
      </c>
      <c r="B7" s="59"/>
      <c r="C7" s="59"/>
      <c r="D7" s="59"/>
      <c r="E7" s="67" t="s">
        <v>518</v>
      </c>
      <c r="F7" s="67"/>
      <c r="G7" s="67"/>
    </row>
    <row r="8" spans="1:7" ht="101.4" customHeight="1" x14ac:dyDescent="0.3">
      <c r="A8" s="57" t="s">
        <v>414</v>
      </c>
      <c r="B8" s="58" t="s">
        <v>436</v>
      </c>
      <c r="C8" s="58" t="s">
        <v>515</v>
      </c>
      <c r="D8" s="58" t="s">
        <v>437</v>
      </c>
      <c r="E8" s="58" t="s">
        <v>438</v>
      </c>
      <c r="F8" s="58" t="s">
        <v>439</v>
      </c>
      <c r="G8" s="58" t="s">
        <v>440</v>
      </c>
    </row>
  </sheetData>
  <mergeCells count="3">
    <mergeCell ref="A1:G1"/>
    <mergeCell ref="B6:D6"/>
    <mergeCell ref="E7:G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1"/>
  <sheetViews>
    <sheetView tabSelected="1" zoomScale="110" zoomScaleNormal="110" workbookViewId="0">
      <selection activeCell="J6" sqref="J6:J11"/>
    </sheetView>
  </sheetViews>
  <sheetFormatPr defaultColWidth="8.88671875" defaultRowHeight="18" x14ac:dyDescent="0.3"/>
  <cols>
    <col min="1" max="1" width="4.6640625" style="30" bestFit="1" customWidth="1"/>
    <col min="2" max="2" width="11.109375" style="28" bestFit="1" customWidth="1"/>
    <col min="3" max="3" width="9.5546875" style="30" bestFit="1" customWidth="1"/>
    <col min="4" max="4" width="11.109375" style="30" bestFit="1" customWidth="1"/>
    <col min="5" max="5" width="23.88671875" style="29" customWidth="1"/>
    <col min="6" max="6" width="4.6640625" style="30" bestFit="1" customWidth="1"/>
    <col min="7" max="7" width="11.109375" style="28" bestFit="1" customWidth="1"/>
    <col min="8" max="8" width="9.5546875" style="30" bestFit="1" customWidth="1"/>
    <col min="9" max="9" width="11.109375" style="30" bestFit="1" customWidth="1"/>
    <col min="10" max="10" width="23.88671875" style="29" customWidth="1"/>
    <col min="11" max="11" width="4.6640625" style="30" bestFit="1" customWidth="1"/>
    <col min="12" max="12" width="11.109375" style="28" bestFit="1" customWidth="1"/>
    <col min="13" max="13" width="9.5546875" style="30" bestFit="1" customWidth="1"/>
    <col min="14" max="14" width="11.109375" style="30" bestFit="1" customWidth="1"/>
    <col min="15" max="15" width="23.88671875" style="29" customWidth="1"/>
    <col min="16" max="16384" width="8.88671875" style="28"/>
  </cols>
  <sheetData>
    <row r="1" spans="1:15" s="34" customFormat="1" ht="52.8" customHeight="1" x14ac:dyDescent="0.3">
      <c r="A1" s="35" t="s">
        <v>338</v>
      </c>
      <c r="B1" s="36" t="s">
        <v>337</v>
      </c>
      <c r="C1" s="36" t="s">
        <v>336</v>
      </c>
      <c r="D1" s="35" t="s">
        <v>335</v>
      </c>
      <c r="E1" s="35" t="s">
        <v>334</v>
      </c>
      <c r="F1" s="35" t="s">
        <v>339</v>
      </c>
      <c r="G1" s="36" t="s">
        <v>337</v>
      </c>
      <c r="H1" s="36" t="s">
        <v>336</v>
      </c>
      <c r="I1" s="35" t="s">
        <v>335</v>
      </c>
      <c r="J1" s="35" t="s">
        <v>340</v>
      </c>
      <c r="K1" s="35" t="s">
        <v>339</v>
      </c>
      <c r="L1" s="36" t="s">
        <v>337</v>
      </c>
      <c r="M1" s="36" t="s">
        <v>336</v>
      </c>
      <c r="N1" s="35" t="s">
        <v>387</v>
      </c>
      <c r="O1" s="35" t="s">
        <v>340</v>
      </c>
    </row>
    <row r="2" spans="1:15" x14ac:dyDescent="0.3">
      <c r="A2" s="85">
        <v>1</v>
      </c>
      <c r="B2" s="32" t="s">
        <v>254</v>
      </c>
      <c r="C2" s="31" t="s">
        <v>386</v>
      </c>
      <c r="D2" s="71" t="s">
        <v>381</v>
      </c>
      <c r="E2" s="86" t="s">
        <v>385</v>
      </c>
      <c r="F2" s="85">
        <v>4</v>
      </c>
      <c r="G2" s="32" t="str">
        <f t="shared" ref="G2:G17" si="0">"財金四2"</f>
        <v>財金四2</v>
      </c>
      <c r="H2" s="31" t="str">
        <f>"莊詠婕"</f>
        <v>莊詠婕</v>
      </c>
      <c r="I2" s="71" t="s">
        <v>384</v>
      </c>
      <c r="J2" s="86" t="s">
        <v>383</v>
      </c>
      <c r="K2" s="85">
        <v>7</v>
      </c>
      <c r="L2" s="32" t="s">
        <v>254</v>
      </c>
      <c r="M2" s="31" t="s">
        <v>382</v>
      </c>
      <c r="N2" s="71" t="s">
        <v>381</v>
      </c>
      <c r="O2" s="86" t="s">
        <v>380</v>
      </c>
    </row>
    <row r="3" spans="1:15" x14ac:dyDescent="0.3">
      <c r="A3" s="85"/>
      <c r="B3" s="32" t="s">
        <v>254</v>
      </c>
      <c r="C3" s="31" t="s">
        <v>379</v>
      </c>
      <c r="D3" s="71" t="s">
        <v>373</v>
      </c>
      <c r="E3" s="86"/>
      <c r="F3" s="85"/>
      <c r="G3" s="32" t="str">
        <f t="shared" si="0"/>
        <v>財金四2</v>
      </c>
      <c r="H3" s="31" t="str">
        <f>"游采霖"</f>
        <v>游采霖</v>
      </c>
      <c r="I3" s="71" t="s">
        <v>372</v>
      </c>
      <c r="J3" s="86"/>
      <c r="K3" s="85"/>
      <c r="L3" s="32" t="s">
        <v>254</v>
      </c>
      <c r="M3" s="31" t="s">
        <v>378</v>
      </c>
      <c r="N3" s="71" t="s">
        <v>370</v>
      </c>
      <c r="O3" s="86"/>
    </row>
    <row r="4" spans="1:15" x14ac:dyDescent="0.3">
      <c r="A4" s="85"/>
      <c r="B4" s="32" t="s">
        <v>254</v>
      </c>
      <c r="C4" s="31" t="s">
        <v>377</v>
      </c>
      <c r="D4" s="71" t="s">
        <v>373</v>
      </c>
      <c r="E4" s="86"/>
      <c r="F4" s="85"/>
      <c r="G4" s="32" t="str">
        <f t="shared" si="0"/>
        <v>財金四2</v>
      </c>
      <c r="H4" s="31" t="str">
        <f>"蔡姄玹"</f>
        <v>蔡姄玹</v>
      </c>
      <c r="I4" s="71" t="s">
        <v>376</v>
      </c>
      <c r="J4" s="86"/>
      <c r="K4" s="85"/>
      <c r="L4" s="32" t="s">
        <v>254</v>
      </c>
      <c r="M4" s="31" t="s">
        <v>375</v>
      </c>
      <c r="N4" s="71" t="s">
        <v>370</v>
      </c>
      <c r="O4" s="86"/>
    </row>
    <row r="5" spans="1:15" x14ac:dyDescent="0.3">
      <c r="A5" s="85"/>
      <c r="B5" s="32" t="s">
        <v>254</v>
      </c>
      <c r="C5" s="31" t="s">
        <v>374</v>
      </c>
      <c r="D5" s="71" t="s">
        <v>373</v>
      </c>
      <c r="E5" s="86"/>
      <c r="F5" s="85"/>
      <c r="G5" s="32" t="str">
        <f t="shared" si="0"/>
        <v>財金四2</v>
      </c>
      <c r="H5" s="31" t="str">
        <f>"謝昀軒"</f>
        <v>謝昀軒</v>
      </c>
      <c r="I5" s="71" t="s">
        <v>372</v>
      </c>
      <c r="J5" s="86"/>
      <c r="K5" s="85"/>
      <c r="L5" s="32" t="s">
        <v>254</v>
      </c>
      <c r="M5" s="31" t="s">
        <v>371</v>
      </c>
      <c r="N5" s="71" t="s">
        <v>370</v>
      </c>
      <c r="O5" s="86"/>
    </row>
    <row r="6" spans="1:15" x14ac:dyDescent="0.3">
      <c r="A6" s="85">
        <v>2</v>
      </c>
      <c r="B6" s="32" t="str">
        <f>"財金四2"</f>
        <v>財金四2</v>
      </c>
      <c r="C6" s="31" t="str">
        <f>"林思均"</f>
        <v>林思均</v>
      </c>
      <c r="D6" s="71" t="s">
        <v>369</v>
      </c>
      <c r="E6" s="86" t="s">
        <v>368</v>
      </c>
      <c r="F6" s="85">
        <v>5</v>
      </c>
      <c r="G6" s="32" t="str">
        <f t="shared" si="0"/>
        <v>財金四2</v>
      </c>
      <c r="H6" s="31" t="str">
        <f>"洪證淇"</f>
        <v>洪證淇</v>
      </c>
      <c r="I6" s="71" t="s">
        <v>266</v>
      </c>
      <c r="J6" s="86" t="s">
        <v>367</v>
      </c>
      <c r="K6" s="85">
        <v>8</v>
      </c>
      <c r="L6" s="32" t="str">
        <f>"財金四2"</f>
        <v>財金四2</v>
      </c>
      <c r="M6" s="31" t="str">
        <f>"莊維銘"</f>
        <v>莊維銘</v>
      </c>
      <c r="N6" s="71" t="s">
        <v>366</v>
      </c>
      <c r="O6" s="86" t="s">
        <v>365</v>
      </c>
    </row>
    <row r="7" spans="1:15" x14ac:dyDescent="0.3">
      <c r="A7" s="85"/>
      <c r="B7" s="32" t="str">
        <f>"財金四2"</f>
        <v>財金四2</v>
      </c>
      <c r="C7" s="31" t="str">
        <f>"吳盈萱"</f>
        <v>吳盈萱</v>
      </c>
      <c r="D7" s="71" t="s">
        <v>363</v>
      </c>
      <c r="E7" s="86"/>
      <c r="F7" s="85"/>
      <c r="G7" s="32" t="str">
        <f t="shared" si="0"/>
        <v>財金四2</v>
      </c>
      <c r="H7" s="31" t="str">
        <f>"許躍騰"</f>
        <v>許躍騰</v>
      </c>
      <c r="I7" s="71" t="s">
        <v>359</v>
      </c>
      <c r="J7" s="86"/>
      <c r="K7" s="85"/>
      <c r="L7" s="32" t="str">
        <f>"財金四2"</f>
        <v>財金四2</v>
      </c>
      <c r="M7" s="31" t="str">
        <f>"邵名嘉"</f>
        <v>邵名嘉</v>
      </c>
      <c r="N7" s="71" t="s">
        <v>364</v>
      </c>
      <c r="O7" s="86"/>
    </row>
    <row r="8" spans="1:15" x14ac:dyDescent="0.3">
      <c r="A8" s="85"/>
      <c r="B8" s="32" t="str">
        <f>"財金四2"</f>
        <v>財金四2</v>
      </c>
      <c r="C8" s="31" t="str">
        <f>"林怡妘"</f>
        <v>林怡妘</v>
      </c>
      <c r="D8" s="71" t="s">
        <v>360</v>
      </c>
      <c r="E8" s="86"/>
      <c r="F8" s="85"/>
      <c r="G8" s="32" t="str">
        <f t="shared" si="0"/>
        <v>財金四2</v>
      </c>
      <c r="H8" s="31" t="str">
        <f>"賴冠順"</f>
        <v>賴冠順</v>
      </c>
      <c r="I8" s="71" t="s">
        <v>359</v>
      </c>
      <c r="J8" s="86"/>
      <c r="K8" s="85"/>
      <c r="L8" s="32" t="str">
        <f>"財金四2"</f>
        <v>財金四2</v>
      </c>
      <c r="M8" s="31" t="str">
        <f>"陳智翔"</f>
        <v>陳智翔</v>
      </c>
      <c r="N8" s="71" t="s">
        <v>364</v>
      </c>
      <c r="O8" s="86"/>
    </row>
    <row r="9" spans="1:15" x14ac:dyDescent="0.3">
      <c r="A9" s="85"/>
      <c r="B9" s="32" t="str">
        <f>"財金四2"</f>
        <v>財金四2</v>
      </c>
      <c r="C9" s="31" t="str">
        <f>"姚又瑄"</f>
        <v>姚又瑄</v>
      </c>
      <c r="D9" s="71" t="s">
        <v>363</v>
      </c>
      <c r="E9" s="86"/>
      <c r="F9" s="85"/>
      <c r="G9" s="32" t="str">
        <f t="shared" si="0"/>
        <v>財金四2</v>
      </c>
      <c r="H9" s="31" t="str">
        <f>"王聖齊"</f>
        <v>王聖齊</v>
      </c>
      <c r="I9" s="71" t="s">
        <v>359</v>
      </c>
      <c r="J9" s="86"/>
      <c r="K9" s="85"/>
      <c r="L9" s="32" t="str">
        <f>"財金四2"</f>
        <v>財金四2</v>
      </c>
      <c r="M9" s="31" t="str">
        <f>"黃慶洲"</f>
        <v>黃慶洲</v>
      </c>
      <c r="N9" s="71" t="s">
        <v>362</v>
      </c>
      <c r="O9" s="86"/>
    </row>
    <row r="10" spans="1:15" x14ac:dyDescent="0.3">
      <c r="A10" s="85"/>
      <c r="B10" s="32" t="str">
        <f>"財金四2"</f>
        <v>財金四2</v>
      </c>
      <c r="C10" s="31" t="str">
        <f>"王翊玟"</f>
        <v>王翊玟</v>
      </c>
      <c r="D10" s="71" t="s">
        <v>361</v>
      </c>
      <c r="E10" s="86"/>
      <c r="F10" s="85"/>
      <c r="G10" s="32" t="str">
        <f t="shared" si="0"/>
        <v>財金四2</v>
      </c>
      <c r="H10" s="31" t="str">
        <f>"許家源"</f>
        <v>許家源</v>
      </c>
      <c r="I10" s="71" t="s">
        <v>359</v>
      </c>
      <c r="J10" s="86"/>
      <c r="K10" s="85"/>
      <c r="L10" s="73"/>
      <c r="M10" s="74"/>
      <c r="N10" s="74"/>
      <c r="O10" s="75"/>
    </row>
    <row r="11" spans="1:15" x14ac:dyDescent="0.3">
      <c r="A11" s="85"/>
      <c r="B11" s="91"/>
      <c r="C11" s="92"/>
      <c r="D11" s="92"/>
      <c r="E11" s="93"/>
      <c r="F11" s="85"/>
      <c r="G11" s="32" t="str">
        <f t="shared" si="0"/>
        <v>財金四2</v>
      </c>
      <c r="H11" s="31" t="str">
        <f>"黃家保"</f>
        <v>黃家保</v>
      </c>
      <c r="I11" s="71" t="s">
        <v>359</v>
      </c>
      <c r="J11" s="86"/>
      <c r="K11" s="85"/>
      <c r="L11" s="76"/>
      <c r="M11" s="77"/>
      <c r="N11" s="77"/>
      <c r="O11" s="78"/>
    </row>
    <row r="12" spans="1:15" x14ac:dyDescent="0.3">
      <c r="A12" s="88">
        <v>3</v>
      </c>
      <c r="B12" s="32" t="s">
        <v>254</v>
      </c>
      <c r="C12" s="31" t="s">
        <v>358</v>
      </c>
      <c r="D12" s="71" t="s">
        <v>357</v>
      </c>
      <c r="E12" s="86" t="s">
        <v>356</v>
      </c>
      <c r="F12" s="85">
        <v>6</v>
      </c>
      <c r="G12" s="32" t="str">
        <f t="shared" si="0"/>
        <v>財金四2</v>
      </c>
      <c r="H12" s="31" t="str">
        <f>"許晏禎"</f>
        <v>許晏禎</v>
      </c>
      <c r="I12" s="71" t="s">
        <v>355</v>
      </c>
      <c r="J12" s="86" t="s">
        <v>354</v>
      </c>
      <c r="K12" s="88">
        <v>9</v>
      </c>
      <c r="L12" s="32" t="str">
        <f>"財金四2"</f>
        <v>財金四2</v>
      </c>
      <c r="M12" s="31" t="str">
        <f>"張蕙讌"</f>
        <v>張蕙讌</v>
      </c>
      <c r="N12" s="71" t="s">
        <v>353</v>
      </c>
      <c r="O12" s="86" t="s">
        <v>352</v>
      </c>
    </row>
    <row r="13" spans="1:15" x14ac:dyDescent="0.3">
      <c r="A13" s="89"/>
      <c r="B13" s="32" t="s">
        <v>254</v>
      </c>
      <c r="C13" s="31" t="s">
        <v>351</v>
      </c>
      <c r="D13" s="71" t="s">
        <v>347</v>
      </c>
      <c r="E13" s="86"/>
      <c r="F13" s="85"/>
      <c r="G13" s="32" t="str">
        <f t="shared" si="0"/>
        <v>財金四2</v>
      </c>
      <c r="H13" s="31" t="str">
        <f>"賴宣涵"</f>
        <v>賴宣涵</v>
      </c>
      <c r="I13" s="71" t="s">
        <v>344</v>
      </c>
      <c r="J13" s="86"/>
      <c r="K13" s="89"/>
      <c r="L13" s="32" t="str">
        <f>"財金四2"</f>
        <v>財金四2</v>
      </c>
      <c r="M13" s="31" t="str">
        <f>"鄧金英"</f>
        <v>鄧金英</v>
      </c>
      <c r="N13" s="71" t="s">
        <v>345</v>
      </c>
      <c r="O13" s="86"/>
    </row>
    <row r="14" spans="1:15" x14ac:dyDescent="0.3">
      <c r="A14" s="89"/>
      <c r="B14" s="32" t="s">
        <v>254</v>
      </c>
      <c r="C14" s="31" t="s">
        <v>350</v>
      </c>
      <c r="D14" s="71" t="s">
        <v>348</v>
      </c>
      <c r="E14" s="86"/>
      <c r="F14" s="85"/>
      <c r="G14" s="32" t="str">
        <f t="shared" si="0"/>
        <v>財金四2</v>
      </c>
      <c r="H14" s="31" t="str">
        <f>"黃莘雅"</f>
        <v>黃莘雅</v>
      </c>
      <c r="I14" s="71" t="s">
        <v>344</v>
      </c>
      <c r="J14" s="86"/>
      <c r="K14" s="89"/>
      <c r="L14" s="32" t="str">
        <f>"財金四2"</f>
        <v>財金四2</v>
      </c>
      <c r="M14" s="31" t="str">
        <f>"佘欣潓"</f>
        <v>佘欣潓</v>
      </c>
      <c r="N14" s="71" t="s">
        <v>345</v>
      </c>
      <c r="O14" s="86"/>
    </row>
    <row r="15" spans="1:15" x14ac:dyDescent="0.3">
      <c r="A15" s="89"/>
      <c r="B15" s="32" t="s">
        <v>254</v>
      </c>
      <c r="C15" s="31" t="s">
        <v>349</v>
      </c>
      <c r="D15" s="71" t="s">
        <v>348</v>
      </c>
      <c r="E15" s="86"/>
      <c r="F15" s="85"/>
      <c r="G15" s="32" t="str">
        <f t="shared" si="0"/>
        <v>財金四2</v>
      </c>
      <c r="H15" s="31" t="str">
        <f>"周宥妘"</f>
        <v>周宥妘</v>
      </c>
      <c r="I15" s="71" t="s">
        <v>344</v>
      </c>
      <c r="J15" s="86"/>
      <c r="K15" s="89"/>
      <c r="L15" s="32" t="str">
        <f>"財金四2"</f>
        <v>財金四2</v>
      </c>
      <c r="M15" s="31" t="str">
        <f>"林嘉鴻"</f>
        <v>林嘉鴻</v>
      </c>
      <c r="N15" s="71" t="s">
        <v>346</v>
      </c>
      <c r="O15" s="86"/>
    </row>
    <row r="16" spans="1:15" x14ac:dyDescent="0.3">
      <c r="A16" s="89"/>
      <c r="B16" s="79"/>
      <c r="C16" s="80"/>
      <c r="D16" s="80"/>
      <c r="E16" s="81"/>
      <c r="F16" s="85"/>
      <c r="G16" s="32" t="str">
        <f t="shared" si="0"/>
        <v>財金四2</v>
      </c>
      <c r="H16" s="31" t="str">
        <f>"劉佳瑄"</f>
        <v>劉佳瑄</v>
      </c>
      <c r="I16" s="71" t="s">
        <v>344</v>
      </c>
      <c r="J16" s="86"/>
      <c r="K16" s="89"/>
      <c r="L16" s="79"/>
      <c r="M16" s="80"/>
      <c r="N16" s="80"/>
      <c r="O16" s="81"/>
    </row>
    <row r="17" spans="1:15" ht="18" customHeight="1" x14ac:dyDescent="0.3">
      <c r="A17" s="90"/>
      <c r="B17" s="82"/>
      <c r="C17" s="83"/>
      <c r="D17" s="83"/>
      <c r="E17" s="84"/>
      <c r="F17" s="85"/>
      <c r="G17" s="32" t="str">
        <f t="shared" si="0"/>
        <v>財金四2</v>
      </c>
      <c r="H17" s="31" t="str">
        <f>"范蔆玲"</f>
        <v>范蔆玲</v>
      </c>
      <c r="I17" s="71" t="s">
        <v>344</v>
      </c>
      <c r="J17" s="86"/>
      <c r="K17" s="90"/>
      <c r="L17" s="82"/>
      <c r="M17" s="83"/>
      <c r="N17" s="83"/>
      <c r="O17" s="84"/>
    </row>
    <row r="18" spans="1:15" x14ac:dyDescent="0.3">
      <c r="A18" s="72" t="s">
        <v>343</v>
      </c>
      <c r="B18" s="72"/>
      <c r="C18" s="72"/>
      <c r="D18" s="72"/>
      <c r="E18" s="72"/>
      <c r="F18" s="72" t="s">
        <v>342</v>
      </c>
      <c r="G18" s="72"/>
      <c r="H18" s="72"/>
      <c r="I18" s="72"/>
      <c r="J18" s="72"/>
      <c r="K18" s="72" t="s">
        <v>341</v>
      </c>
      <c r="L18" s="72"/>
      <c r="M18" s="72"/>
      <c r="N18" s="72"/>
      <c r="O18" s="72"/>
    </row>
    <row r="19" spans="1:15" s="34" customFormat="1" ht="36" x14ac:dyDescent="0.3">
      <c r="A19" s="35" t="s">
        <v>339</v>
      </c>
      <c r="B19" s="36" t="s">
        <v>337</v>
      </c>
      <c r="C19" s="36" t="s">
        <v>336</v>
      </c>
      <c r="D19" s="35" t="s">
        <v>335</v>
      </c>
      <c r="E19" s="35" t="s">
        <v>340</v>
      </c>
      <c r="F19" s="35" t="s">
        <v>339</v>
      </c>
      <c r="G19" s="36" t="s">
        <v>337</v>
      </c>
      <c r="H19" s="36" t="s">
        <v>336</v>
      </c>
      <c r="I19" s="35" t="s">
        <v>335</v>
      </c>
      <c r="J19" s="35" t="s">
        <v>334</v>
      </c>
      <c r="K19" s="35" t="s">
        <v>338</v>
      </c>
      <c r="L19" s="36" t="s">
        <v>337</v>
      </c>
      <c r="M19" s="36" t="s">
        <v>336</v>
      </c>
      <c r="N19" s="35" t="s">
        <v>335</v>
      </c>
      <c r="O19" s="35" t="s">
        <v>334</v>
      </c>
    </row>
    <row r="20" spans="1:15" x14ac:dyDescent="0.3">
      <c r="A20" s="85">
        <v>10</v>
      </c>
      <c r="B20" s="32" t="s">
        <v>254</v>
      </c>
      <c r="C20" s="31" t="s">
        <v>333</v>
      </c>
      <c r="D20" s="71" t="s">
        <v>332</v>
      </c>
      <c r="E20" s="86" t="s">
        <v>331</v>
      </c>
      <c r="F20" s="85">
        <v>14</v>
      </c>
      <c r="G20" s="32" t="str">
        <f>"財金四2"</f>
        <v>財金四2</v>
      </c>
      <c r="H20" s="31" t="str">
        <f>"石旻昕"</f>
        <v>石旻昕</v>
      </c>
      <c r="I20" s="71" t="s">
        <v>314</v>
      </c>
      <c r="J20" s="86" t="s">
        <v>330</v>
      </c>
      <c r="K20" s="88">
        <v>18</v>
      </c>
      <c r="L20" s="32" t="s">
        <v>254</v>
      </c>
      <c r="M20" s="31" t="s">
        <v>329</v>
      </c>
      <c r="N20" s="71" t="s">
        <v>328</v>
      </c>
      <c r="O20" s="86" t="s">
        <v>327</v>
      </c>
    </row>
    <row r="21" spans="1:15" x14ac:dyDescent="0.3">
      <c r="A21" s="85"/>
      <c r="B21" s="32" t="s">
        <v>254</v>
      </c>
      <c r="C21" s="31" t="s">
        <v>326</v>
      </c>
      <c r="D21" s="71" t="s">
        <v>315</v>
      </c>
      <c r="E21" s="86"/>
      <c r="F21" s="85"/>
      <c r="G21" s="32" t="str">
        <f>"財金四2"</f>
        <v>財金四2</v>
      </c>
      <c r="H21" s="31" t="str">
        <f>"陳玉芳"</f>
        <v>陳玉芳</v>
      </c>
      <c r="I21" s="71" t="s">
        <v>325</v>
      </c>
      <c r="J21" s="86"/>
      <c r="K21" s="89"/>
      <c r="L21" s="32" t="s">
        <v>254</v>
      </c>
      <c r="M21" s="31" t="s">
        <v>324</v>
      </c>
      <c r="N21" s="71" t="s">
        <v>323</v>
      </c>
      <c r="O21" s="86"/>
    </row>
    <row r="22" spans="1:15" x14ac:dyDescent="0.3">
      <c r="A22" s="85"/>
      <c r="B22" s="32" t="s">
        <v>254</v>
      </c>
      <c r="C22" s="31" t="s">
        <v>322</v>
      </c>
      <c r="D22" s="71" t="s">
        <v>315</v>
      </c>
      <c r="E22" s="86"/>
      <c r="F22" s="85"/>
      <c r="G22" s="32" t="str">
        <f>"財金四2"</f>
        <v>財金四2</v>
      </c>
      <c r="H22" s="31" t="str">
        <f>"蔡旻芩"</f>
        <v>蔡旻芩</v>
      </c>
      <c r="I22" s="71" t="s">
        <v>314</v>
      </c>
      <c r="J22" s="86"/>
      <c r="K22" s="89"/>
      <c r="L22" s="32" t="s">
        <v>254</v>
      </c>
      <c r="M22" s="31" t="s">
        <v>321</v>
      </c>
      <c r="N22" s="71" t="s">
        <v>320</v>
      </c>
      <c r="O22" s="86"/>
    </row>
    <row r="23" spans="1:15" x14ac:dyDescent="0.3">
      <c r="A23" s="85"/>
      <c r="B23" s="32" t="s">
        <v>254</v>
      </c>
      <c r="C23" s="31" t="s">
        <v>319</v>
      </c>
      <c r="D23" s="71" t="s">
        <v>315</v>
      </c>
      <c r="E23" s="86"/>
      <c r="F23" s="85"/>
      <c r="G23" s="32" t="str">
        <f>"財金四2"</f>
        <v>財金四2</v>
      </c>
      <c r="H23" s="31" t="str">
        <f>"林佩諭"</f>
        <v>林佩諭</v>
      </c>
      <c r="I23" s="71" t="s">
        <v>314</v>
      </c>
      <c r="J23" s="86"/>
      <c r="K23" s="89"/>
      <c r="L23" s="32" t="s">
        <v>254</v>
      </c>
      <c r="M23" s="31" t="s">
        <v>318</v>
      </c>
      <c r="N23" s="71" t="s">
        <v>317</v>
      </c>
      <c r="O23" s="86"/>
    </row>
    <row r="24" spans="1:15" x14ac:dyDescent="0.3">
      <c r="A24" s="85"/>
      <c r="B24" s="32" t="s">
        <v>254</v>
      </c>
      <c r="C24" s="31" t="s">
        <v>316</v>
      </c>
      <c r="D24" s="71" t="s">
        <v>315</v>
      </c>
      <c r="E24" s="86"/>
      <c r="F24" s="85"/>
      <c r="G24" s="32" t="str">
        <f>"財金四2"</f>
        <v>財金四2</v>
      </c>
      <c r="H24" s="33" t="str">
        <f>"許少瑜"</f>
        <v>許少瑜</v>
      </c>
      <c r="I24" s="71" t="s">
        <v>314</v>
      </c>
      <c r="J24" s="86"/>
      <c r="K24" s="90"/>
      <c r="L24" s="68"/>
      <c r="M24" s="69"/>
      <c r="N24" s="69"/>
      <c r="O24" s="70"/>
    </row>
    <row r="25" spans="1:15" x14ac:dyDescent="0.3">
      <c r="A25" s="85">
        <v>11</v>
      </c>
      <c r="B25" s="32" t="str">
        <f>"財金四2"</f>
        <v>財金四2</v>
      </c>
      <c r="C25" s="31" t="str">
        <f>"李昀珊"</f>
        <v>李昀珊</v>
      </c>
      <c r="D25" s="71" t="s">
        <v>265</v>
      </c>
      <c r="E25" s="87" t="s">
        <v>313</v>
      </c>
      <c r="F25" s="85">
        <v>15</v>
      </c>
      <c r="G25" s="32" t="s">
        <v>254</v>
      </c>
      <c r="H25" s="31" t="s">
        <v>312</v>
      </c>
      <c r="I25" s="71" t="s">
        <v>311</v>
      </c>
      <c r="J25" s="86" t="s">
        <v>310</v>
      </c>
      <c r="K25" s="85">
        <v>19</v>
      </c>
      <c r="L25" s="32" t="s">
        <v>254</v>
      </c>
      <c r="M25" s="31" t="s">
        <v>309</v>
      </c>
      <c r="N25" s="71" t="s">
        <v>308</v>
      </c>
      <c r="O25" s="86" t="s">
        <v>307</v>
      </c>
    </row>
    <row r="26" spans="1:15" x14ac:dyDescent="0.3">
      <c r="A26" s="85"/>
      <c r="B26" s="32" t="str">
        <f>"財金四2"</f>
        <v>財金四2</v>
      </c>
      <c r="C26" s="31" t="str">
        <f>"詹芷瑜"</f>
        <v>詹芷瑜</v>
      </c>
      <c r="D26" s="71" t="s">
        <v>306</v>
      </c>
      <c r="E26" s="87"/>
      <c r="F26" s="85"/>
      <c r="G26" s="32" t="s">
        <v>254</v>
      </c>
      <c r="H26" s="31" t="s">
        <v>305</v>
      </c>
      <c r="I26" s="71" t="s">
        <v>294</v>
      </c>
      <c r="J26" s="86"/>
      <c r="K26" s="85"/>
      <c r="L26" s="32" t="s">
        <v>254</v>
      </c>
      <c r="M26" s="31" t="s">
        <v>304</v>
      </c>
      <c r="N26" s="71" t="s">
        <v>291</v>
      </c>
      <c r="O26" s="86"/>
    </row>
    <row r="27" spans="1:15" x14ac:dyDescent="0.3">
      <c r="A27" s="85"/>
      <c r="B27" s="32" t="str">
        <f>"財金四2"</f>
        <v>財金四2</v>
      </c>
      <c r="C27" s="31" t="str">
        <f>"石若彣"</f>
        <v>石若彣</v>
      </c>
      <c r="D27" s="71" t="s">
        <v>258</v>
      </c>
      <c r="E27" s="87"/>
      <c r="F27" s="85"/>
      <c r="G27" s="32" t="s">
        <v>254</v>
      </c>
      <c r="H27" s="31" t="s">
        <v>303</v>
      </c>
      <c r="I27" s="71" t="s">
        <v>302</v>
      </c>
      <c r="J27" s="86"/>
      <c r="K27" s="85"/>
      <c r="L27" s="32" t="s">
        <v>254</v>
      </c>
      <c r="M27" s="31" t="s">
        <v>301</v>
      </c>
      <c r="N27" s="71" t="s">
        <v>292</v>
      </c>
      <c r="O27" s="86"/>
    </row>
    <row r="28" spans="1:15" x14ac:dyDescent="0.3">
      <c r="A28" s="85"/>
      <c r="B28" s="32" t="str">
        <f>"財金四2"</f>
        <v>財金四2</v>
      </c>
      <c r="C28" s="31" t="str">
        <f>"傅雅琴"</f>
        <v>傅雅琴</v>
      </c>
      <c r="D28" s="71" t="s">
        <v>300</v>
      </c>
      <c r="E28" s="87"/>
      <c r="F28" s="85"/>
      <c r="G28" s="32" t="s">
        <v>254</v>
      </c>
      <c r="H28" s="31" t="s">
        <v>299</v>
      </c>
      <c r="I28" s="71" t="s">
        <v>298</v>
      </c>
      <c r="J28" s="86"/>
      <c r="K28" s="85"/>
      <c r="L28" s="32" t="s">
        <v>254</v>
      </c>
      <c r="M28" s="31" t="s">
        <v>297</v>
      </c>
      <c r="N28" s="71" t="s">
        <v>296</v>
      </c>
      <c r="O28" s="86"/>
    </row>
    <row r="29" spans="1:15" x14ac:dyDescent="0.3">
      <c r="A29" s="85"/>
      <c r="B29" s="68"/>
      <c r="C29" s="69"/>
      <c r="D29" s="69"/>
      <c r="E29" s="70"/>
      <c r="F29" s="85"/>
      <c r="G29" s="32" t="s">
        <v>254</v>
      </c>
      <c r="H29" s="31" t="s">
        <v>295</v>
      </c>
      <c r="I29" s="71" t="s">
        <v>294</v>
      </c>
      <c r="J29" s="86"/>
      <c r="K29" s="85"/>
      <c r="L29" s="32" t="s">
        <v>254</v>
      </c>
      <c r="M29" s="31" t="s">
        <v>293</v>
      </c>
      <c r="N29" s="71" t="s">
        <v>292</v>
      </c>
      <c r="O29" s="86"/>
    </row>
    <row r="30" spans="1:15" x14ac:dyDescent="0.3">
      <c r="A30" s="85">
        <v>12</v>
      </c>
      <c r="B30" s="32" t="str">
        <f>"財金四2"</f>
        <v>財金四2</v>
      </c>
      <c r="C30" s="31" t="str">
        <f>"張耘甄"</f>
        <v>張耘甄</v>
      </c>
      <c r="D30" s="71" t="s">
        <v>290</v>
      </c>
      <c r="E30" s="87" t="s">
        <v>289</v>
      </c>
      <c r="F30" s="85">
        <v>16</v>
      </c>
      <c r="G30" s="32" t="s">
        <v>254</v>
      </c>
      <c r="H30" s="31" t="s">
        <v>288</v>
      </c>
      <c r="I30" s="71" t="s">
        <v>287</v>
      </c>
      <c r="J30" s="86" t="s">
        <v>286</v>
      </c>
      <c r="K30" s="88">
        <v>20</v>
      </c>
      <c r="L30" s="32" t="s">
        <v>254</v>
      </c>
      <c r="M30" s="31" t="s">
        <v>285</v>
      </c>
      <c r="N30" s="71" t="s">
        <v>284</v>
      </c>
      <c r="O30" s="86" t="s">
        <v>283</v>
      </c>
    </row>
    <row r="31" spans="1:15" x14ac:dyDescent="0.3">
      <c r="A31" s="85"/>
      <c r="B31" s="32" t="str">
        <f>"財金四2"</f>
        <v>財金四2</v>
      </c>
      <c r="C31" s="31" t="str">
        <f>"陳雅琪"</f>
        <v>陳雅琪</v>
      </c>
      <c r="D31" s="71" t="s">
        <v>275</v>
      </c>
      <c r="E31" s="87"/>
      <c r="F31" s="85"/>
      <c r="G31" s="32" t="s">
        <v>254</v>
      </c>
      <c r="H31" s="31" t="s">
        <v>282</v>
      </c>
      <c r="I31" s="71" t="s">
        <v>273</v>
      </c>
      <c r="J31" s="86"/>
      <c r="K31" s="89"/>
      <c r="L31" s="32" t="s">
        <v>254</v>
      </c>
      <c r="M31" s="31" t="s">
        <v>281</v>
      </c>
      <c r="N31" s="71" t="s">
        <v>276</v>
      </c>
      <c r="O31" s="86"/>
    </row>
    <row r="32" spans="1:15" x14ac:dyDescent="0.3">
      <c r="A32" s="85"/>
      <c r="B32" s="32" t="str">
        <f>"財金四2"</f>
        <v>財金四2</v>
      </c>
      <c r="C32" s="31" t="str">
        <f>"郭美汎"</f>
        <v>郭美汎</v>
      </c>
      <c r="D32" s="71" t="s">
        <v>275</v>
      </c>
      <c r="E32" s="87"/>
      <c r="F32" s="85"/>
      <c r="G32" s="32" t="s">
        <v>254</v>
      </c>
      <c r="H32" s="31" t="s">
        <v>280</v>
      </c>
      <c r="I32" s="71" t="s">
        <v>273</v>
      </c>
      <c r="J32" s="86"/>
      <c r="K32" s="89"/>
      <c r="L32" s="32" t="s">
        <v>254</v>
      </c>
      <c r="M32" s="31" t="s">
        <v>279</v>
      </c>
      <c r="N32" s="71" t="s">
        <v>276</v>
      </c>
      <c r="O32" s="86"/>
    </row>
    <row r="33" spans="1:15" x14ac:dyDescent="0.3">
      <c r="A33" s="85"/>
      <c r="B33" s="32" t="str">
        <f>"財金四2"</f>
        <v>財金四2</v>
      </c>
      <c r="C33" s="31" t="str">
        <f>"程宥羚"</f>
        <v>程宥羚</v>
      </c>
      <c r="D33" s="71" t="s">
        <v>275</v>
      </c>
      <c r="E33" s="87"/>
      <c r="F33" s="85"/>
      <c r="G33" s="32" t="s">
        <v>254</v>
      </c>
      <c r="H33" s="31" t="s">
        <v>278</v>
      </c>
      <c r="I33" s="71" t="s">
        <v>273</v>
      </c>
      <c r="J33" s="86"/>
      <c r="K33" s="89"/>
      <c r="L33" s="32" t="s">
        <v>254</v>
      </c>
      <c r="M33" s="31" t="s">
        <v>277</v>
      </c>
      <c r="N33" s="71" t="s">
        <v>276</v>
      </c>
      <c r="O33" s="86"/>
    </row>
    <row r="34" spans="1:15" x14ac:dyDescent="0.3">
      <c r="A34" s="85"/>
      <c r="B34" s="32" t="str">
        <f>"財金四2"</f>
        <v>財金四2</v>
      </c>
      <c r="C34" s="31" t="str">
        <f>"詹羽涵"</f>
        <v>詹羽涵</v>
      </c>
      <c r="D34" s="71" t="s">
        <v>275</v>
      </c>
      <c r="E34" s="87"/>
      <c r="F34" s="85"/>
      <c r="G34" s="32" t="s">
        <v>254</v>
      </c>
      <c r="H34" s="31" t="s">
        <v>274</v>
      </c>
      <c r="I34" s="71" t="s">
        <v>273</v>
      </c>
      <c r="J34" s="86"/>
      <c r="K34" s="90"/>
      <c r="L34" s="68"/>
      <c r="M34" s="69"/>
      <c r="N34" s="69"/>
      <c r="O34" s="70"/>
    </row>
    <row r="35" spans="1:15" x14ac:dyDescent="0.3">
      <c r="A35" s="88">
        <v>13</v>
      </c>
      <c r="B35" s="32" t="s">
        <v>254</v>
      </c>
      <c r="C35" s="31" t="s">
        <v>272</v>
      </c>
      <c r="D35" s="71" t="s">
        <v>271</v>
      </c>
      <c r="E35" s="87" t="s">
        <v>270</v>
      </c>
      <c r="F35" s="85">
        <v>17</v>
      </c>
      <c r="G35" s="32" t="str">
        <f>"財金四2"</f>
        <v>財金四2</v>
      </c>
      <c r="H35" s="31" t="str">
        <f>"宋雁荻"</f>
        <v>宋雁荻</v>
      </c>
      <c r="I35" s="71" t="s">
        <v>269</v>
      </c>
      <c r="J35" s="86" t="s">
        <v>268</v>
      </c>
      <c r="K35" s="88">
        <v>21</v>
      </c>
      <c r="L35" s="32" t="s">
        <v>254</v>
      </c>
      <c r="M35" s="31" t="s">
        <v>267</v>
      </c>
      <c r="N35" s="71" t="s">
        <v>266</v>
      </c>
      <c r="O35" s="86" t="s">
        <v>264</v>
      </c>
    </row>
    <row r="36" spans="1:15" x14ac:dyDescent="0.3">
      <c r="A36" s="89"/>
      <c r="B36" s="32" t="s">
        <v>254</v>
      </c>
      <c r="C36" s="31" t="s">
        <v>263</v>
      </c>
      <c r="D36" s="71" t="s">
        <v>256</v>
      </c>
      <c r="E36" s="87"/>
      <c r="F36" s="85"/>
      <c r="G36" s="32" t="str">
        <f>"財金四2"</f>
        <v>財金四2</v>
      </c>
      <c r="H36" s="31" t="str">
        <f>"戴宏貞"</f>
        <v>戴宏貞</v>
      </c>
      <c r="I36" s="71" t="s">
        <v>251</v>
      </c>
      <c r="J36" s="86"/>
      <c r="K36" s="89"/>
      <c r="L36" s="32" t="s">
        <v>254</v>
      </c>
      <c r="M36" s="31" t="s">
        <v>262</v>
      </c>
      <c r="N36" s="71" t="s">
        <v>258</v>
      </c>
      <c r="O36" s="86"/>
    </row>
    <row r="37" spans="1:15" x14ac:dyDescent="0.3">
      <c r="A37" s="89"/>
      <c r="B37" s="32" t="s">
        <v>254</v>
      </c>
      <c r="C37" s="31" t="s">
        <v>261</v>
      </c>
      <c r="D37" s="71" t="s">
        <v>260</v>
      </c>
      <c r="E37" s="87"/>
      <c r="F37" s="85"/>
      <c r="G37" s="32" t="str">
        <f>"財金四2"</f>
        <v>財金四2</v>
      </c>
      <c r="H37" s="31" t="str">
        <f>"王傳硯"</f>
        <v>王傳硯</v>
      </c>
      <c r="I37" s="71" t="s">
        <v>251</v>
      </c>
      <c r="J37" s="86"/>
      <c r="K37" s="89"/>
      <c r="L37" s="32" t="s">
        <v>254</v>
      </c>
      <c r="M37" s="31" t="s">
        <v>259</v>
      </c>
      <c r="N37" s="71" t="s">
        <v>258</v>
      </c>
      <c r="O37" s="86"/>
    </row>
    <row r="38" spans="1:15" x14ac:dyDescent="0.3">
      <c r="A38" s="89"/>
      <c r="B38" s="32" t="s">
        <v>254</v>
      </c>
      <c r="C38" s="31" t="s">
        <v>257</v>
      </c>
      <c r="D38" s="71" t="s">
        <v>256</v>
      </c>
      <c r="E38" s="87"/>
      <c r="F38" s="85"/>
      <c r="G38" s="32" t="str">
        <f>"財金四2"</f>
        <v>財金四2</v>
      </c>
      <c r="H38" s="31" t="str">
        <f>"李浩宇"</f>
        <v>李浩宇</v>
      </c>
      <c r="I38" s="71" t="s">
        <v>255</v>
      </c>
      <c r="J38" s="86"/>
      <c r="K38" s="89"/>
      <c r="L38" s="32" t="s">
        <v>254</v>
      </c>
      <c r="M38" s="31" t="s">
        <v>253</v>
      </c>
      <c r="N38" s="71" t="s">
        <v>252</v>
      </c>
      <c r="O38" s="86"/>
    </row>
    <row r="39" spans="1:15" x14ac:dyDescent="0.3">
      <c r="A39" s="90"/>
      <c r="B39" s="68"/>
      <c r="C39" s="69"/>
      <c r="D39" s="69"/>
      <c r="E39" s="70"/>
      <c r="F39" s="85"/>
      <c r="G39" s="32" t="str">
        <f>"財金四2"</f>
        <v>財金四2</v>
      </c>
      <c r="H39" s="31" t="str">
        <f>"張翔堉"</f>
        <v>張翔堉</v>
      </c>
      <c r="I39" s="71" t="s">
        <v>251</v>
      </c>
      <c r="J39" s="86"/>
      <c r="K39" s="90"/>
      <c r="L39" s="68"/>
      <c r="M39" s="69"/>
      <c r="N39" s="69"/>
      <c r="O39" s="70"/>
    </row>
    <row r="40" spans="1:15" x14ac:dyDescent="0.3">
      <c r="A40" s="72" t="s">
        <v>250</v>
      </c>
      <c r="B40" s="72"/>
      <c r="C40" s="72"/>
      <c r="D40" s="72"/>
      <c r="E40" s="72"/>
      <c r="F40" s="72" t="s">
        <v>249</v>
      </c>
      <c r="G40" s="72"/>
      <c r="H40" s="72"/>
      <c r="I40" s="72"/>
      <c r="J40" s="72"/>
      <c r="K40" s="72" t="s">
        <v>248</v>
      </c>
      <c r="L40" s="72"/>
      <c r="M40" s="72"/>
      <c r="N40" s="72"/>
      <c r="O40" s="72"/>
    </row>
    <row r="41" spans="1:15" x14ac:dyDescent="0.3">
      <c r="O41" s="30"/>
    </row>
  </sheetData>
  <mergeCells count="78">
    <mergeCell ref="O2:O5"/>
    <mergeCell ref="E2:E5"/>
    <mergeCell ref="O20:O23"/>
    <mergeCell ref="O12:O15"/>
    <mergeCell ref="O6:O9"/>
    <mergeCell ref="E6:E10"/>
    <mergeCell ref="F2:F5"/>
    <mergeCell ref="K2:K5"/>
    <mergeCell ref="N2:N5"/>
    <mergeCell ref="N6:N9"/>
    <mergeCell ref="J2:J5"/>
    <mergeCell ref="E12:E15"/>
    <mergeCell ref="E20:E24"/>
    <mergeCell ref="K6:K11"/>
    <mergeCell ref="I6:I11"/>
    <mergeCell ref="I12:I17"/>
    <mergeCell ref="I20:I24"/>
    <mergeCell ref="O25:O29"/>
    <mergeCell ref="K25:K29"/>
    <mergeCell ref="N12:N15"/>
    <mergeCell ref="E25:E28"/>
    <mergeCell ref="J6:J11"/>
    <mergeCell ref="F6:F11"/>
    <mergeCell ref="F12:F17"/>
    <mergeCell ref="I25:I29"/>
    <mergeCell ref="A18:E18"/>
    <mergeCell ref="N20:N23"/>
    <mergeCell ref="A6:A11"/>
    <mergeCell ref="K20:K24"/>
    <mergeCell ref="J12:J17"/>
    <mergeCell ref="J20:J24"/>
    <mergeCell ref="K18:O18"/>
    <mergeCell ref="N25:N29"/>
    <mergeCell ref="A12:A17"/>
    <mergeCell ref="K12:K17"/>
    <mergeCell ref="F40:J40"/>
    <mergeCell ref="A2:A5"/>
    <mergeCell ref="D2:D5"/>
    <mergeCell ref="D6:D10"/>
    <mergeCell ref="I2:I5"/>
    <mergeCell ref="E30:E34"/>
    <mergeCell ref="D12:D15"/>
    <mergeCell ref="A20:A24"/>
    <mergeCell ref="A25:A29"/>
    <mergeCell ref="F18:J18"/>
    <mergeCell ref="D20:D24"/>
    <mergeCell ref="J25:J29"/>
    <mergeCell ref="D25:D28"/>
    <mergeCell ref="F30:F34"/>
    <mergeCell ref="B11:E11"/>
    <mergeCell ref="B16:E17"/>
    <mergeCell ref="K40:O40"/>
    <mergeCell ref="L10:O11"/>
    <mergeCell ref="L16:O17"/>
    <mergeCell ref="A40:E40"/>
    <mergeCell ref="A30:A34"/>
    <mergeCell ref="J30:J34"/>
    <mergeCell ref="O30:O33"/>
    <mergeCell ref="O35:O38"/>
    <mergeCell ref="E35:E38"/>
    <mergeCell ref="A35:A39"/>
    <mergeCell ref="D30:D34"/>
    <mergeCell ref="D35:D38"/>
    <mergeCell ref="I30:I34"/>
    <mergeCell ref="I35:I39"/>
    <mergeCell ref="J35:J39"/>
    <mergeCell ref="K30:K34"/>
    <mergeCell ref="B39:E39"/>
    <mergeCell ref="L39:O39"/>
    <mergeCell ref="L34:O34"/>
    <mergeCell ref="L24:O24"/>
    <mergeCell ref="N30:N33"/>
    <mergeCell ref="N35:N38"/>
    <mergeCell ref="K35:K39"/>
    <mergeCell ref="F35:F39"/>
    <mergeCell ref="B29:E29"/>
    <mergeCell ref="F20:F24"/>
    <mergeCell ref="F25:F29"/>
  </mergeCells>
  <phoneticPr fontId="1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120" zoomScaleNormal="120" workbookViewId="0">
      <pane ySplit="1" topLeftCell="A40" activePane="bottomLeft" state="frozen"/>
      <selection pane="bottomLeft" activeCell="K42" sqref="K42"/>
    </sheetView>
  </sheetViews>
  <sheetFormatPr defaultRowHeight="16.2" x14ac:dyDescent="0.3"/>
  <cols>
    <col min="1" max="1" width="3.88671875" style="48" bestFit="1" customWidth="1"/>
    <col min="2" max="2" width="8.88671875" style="47"/>
    <col min="3" max="3" width="31.33203125" style="49" customWidth="1"/>
    <col min="4" max="4" width="8.88671875" style="48"/>
    <col min="5" max="9" width="11.6640625" style="48" customWidth="1"/>
    <col min="10" max="10" width="10.21875" style="48" customWidth="1"/>
    <col min="11" max="16384" width="8.88671875" style="47"/>
  </cols>
  <sheetData>
    <row r="1" spans="1:10" ht="48.6" x14ac:dyDescent="0.3">
      <c r="A1" s="50" t="s">
        <v>473</v>
      </c>
      <c r="B1" s="50" t="s">
        <v>474</v>
      </c>
      <c r="C1" s="51" t="s">
        <v>475</v>
      </c>
      <c r="D1" s="50" t="s">
        <v>513</v>
      </c>
      <c r="E1" s="53" t="s">
        <v>463</v>
      </c>
      <c r="F1" s="53" t="s">
        <v>464</v>
      </c>
      <c r="G1" s="53" t="s">
        <v>465</v>
      </c>
      <c r="H1" s="54" t="s">
        <v>466</v>
      </c>
      <c r="I1" s="53" t="s">
        <v>476</v>
      </c>
      <c r="J1" s="50" t="s">
        <v>514</v>
      </c>
    </row>
    <row r="2" spans="1:10" ht="18" customHeight="1" x14ac:dyDescent="0.3">
      <c r="A2" s="94">
        <v>1</v>
      </c>
      <c r="B2" s="95" t="s">
        <v>477</v>
      </c>
      <c r="C2" s="96" t="s">
        <v>478</v>
      </c>
      <c r="D2" s="46" t="s">
        <v>449</v>
      </c>
      <c r="E2" s="52">
        <v>28</v>
      </c>
      <c r="F2" s="52">
        <v>26</v>
      </c>
      <c r="G2" s="52">
        <v>18</v>
      </c>
      <c r="H2" s="52">
        <v>18</v>
      </c>
      <c r="I2" s="52">
        <f>SUM(E2:H2)</f>
        <v>90</v>
      </c>
      <c r="J2" s="95">
        <f>ROUND((I2+I3)/2,2)</f>
        <v>90</v>
      </c>
    </row>
    <row r="3" spans="1:10" ht="18" customHeight="1" x14ac:dyDescent="0.3">
      <c r="A3" s="94"/>
      <c r="B3" s="95"/>
      <c r="C3" s="96"/>
      <c r="D3" s="46" t="s">
        <v>450</v>
      </c>
      <c r="E3" s="52">
        <v>27</v>
      </c>
      <c r="F3" s="52">
        <v>27</v>
      </c>
      <c r="G3" s="52">
        <v>18</v>
      </c>
      <c r="H3" s="52">
        <v>18</v>
      </c>
      <c r="I3" s="52">
        <f t="shared" ref="I3:I51" si="0">SUM(E3:H3)</f>
        <v>90</v>
      </c>
      <c r="J3" s="95"/>
    </row>
    <row r="4" spans="1:10" ht="18" customHeight="1" x14ac:dyDescent="0.3">
      <c r="A4" s="94">
        <v>2</v>
      </c>
      <c r="B4" s="95" t="s">
        <v>479</v>
      </c>
      <c r="C4" s="96" t="s">
        <v>480</v>
      </c>
      <c r="D4" s="46" t="s">
        <v>449</v>
      </c>
      <c r="E4" s="52">
        <v>28</v>
      </c>
      <c r="F4" s="52">
        <v>26</v>
      </c>
      <c r="G4" s="52">
        <v>18</v>
      </c>
      <c r="H4" s="52">
        <v>18</v>
      </c>
      <c r="I4" s="52">
        <f t="shared" si="0"/>
        <v>90</v>
      </c>
      <c r="J4" s="95">
        <f>ROUND((I4+I5)/2,2)</f>
        <v>90</v>
      </c>
    </row>
    <row r="5" spans="1:10" ht="18" customHeight="1" x14ac:dyDescent="0.3">
      <c r="A5" s="94"/>
      <c r="B5" s="95"/>
      <c r="C5" s="96"/>
      <c r="D5" s="46" t="s">
        <v>450</v>
      </c>
      <c r="E5" s="52">
        <v>27</v>
      </c>
      <c r="F5" s="52">
        <v>27</v>
      </c>
      <c r="G5" s="52">
        <v>18</v>
      </c>
      <c r="H5" s="52">
        <v>18</v>
      </c>
      <c r="I5" s="52">
        <f t="shared" si="0"/>
        <v>90</v>
      </c>
      <c r="J5" s="95"/>
    </row>
    <row r="6" spans="1:10" ht="18" customHeight="1" x14ac:dyDescent="0.3">
      <c r="A6" s="94">
        <v>3</v>
      </c>
      <c r="B6" s="95" t="s">
        <v>481</v>
      </c>
      <c r="C6" s="96" t="s">
        <v>482</v>
      </c>
      <c r="D6" s="46" t="s">
        <v>449</v>
      </c>
      <c r="E6" s="52">
        <v>26</v>
      </c>
      <c r="F6" s="52">
        <v>27</v>
      </c>
      <c r="G6" s="52">
        <v>18</v>
      </c>
      <c r="H6" s="52">
        <v>18</v>
      </c>
      <c r="I6" s="52">
        <f t="shared" si="0"/>
        <v>89</v>
      </c>
      <c r="J6" s="95">
        <f>ROUND((I6+I7)/2,2)</f>
        <v>89</v>
      </c>
    </row>
    <row r="7" spans="1:10" ht="18" customHeight="1" x14ac:dyDescent="0.3">
      <c r="A7" s="94"/>
      <c r="B7" s="95"/>
      <c r="C7" s="96"/>
      <c r="D7" s="46" t="s">
        <v>450</v>
      </c>
      <c r="E7" s="52">
        <v>27</v>
      </c>
      <c r="F7" s="52">
        <v>26</v>
      </c>
      <c r="G7" s="52">
        <v>18</v>
      </c>
      <c r="H7" s="52">
        <v>18</v>
      </c>
      <c r="I7" s="52">
        <f t="shared" si="0"/>
        <v>89</v>
      </c>
      <c r="J7" s="95"/>
    </row>
    <row r="8" spans="1:10" ht="18" customHeight="1" x14ac:dyDescent="0.3">
      <c r="A8" s="94">
        <v>4</v>
      </c>
      <c r="B8" s="95" t="s">
        <v>483</v>
      </c>
      <c r="C8" s="96" t="s">
        <v>467</v>
      </c>
      <c r="D8" s="46" t="s">
        <v>451</v>
      </c>
      <c r="E8" s="52">
        <v>28</v>
      </c>
      <c r="F8" s="52">
        <v>28</v>
      </c>
      <c r="G8" s="52">
        <v>18</v>
      </c>
      <c r="H8" s="52">
        <v>18</v>
      </c>
      <c r="I8" s="52">
        <f t="shared" si="0"/>
        <v>92</v>
      </c>
      <c r="J8" s="95">
        <f t="shared" ref="J8" si="1">ROUND((I8+I9)/2,2)</f>
        <v>92</v>
      </c>
    </row>
    <row r="9" spans="1:10" ht="18" customHeight="1" x14ac:dyDescent="0.3">
      <c r="A9" s="94"/>
      <c r="B9" s="95"/>
      <c r="C9" s="96"/>
      <c r="D9" s="46" t="s">
        <v>452</v>
      </c>
      <c r="E9" s="52">
        <v>28</v>
      </c>
      <c r="F9" s="52">
        <v>28</v>
      </c>
      <c r="G9" s="52">
        <v>18</v>
      </c>
      <c r="H9" s="52">
        <v>18</v>
      </c>
      <c r="I9" s="52">
        <f t="shared" si="0"/>
        <v>92</v>
      </c>
      <c r="J9" s="95"/>
    </row>
    <row r="10" spans="1:10" ht="18" customHeight="1" x14ac:dyDescent="0.3">
      <c r="A10" s="94">
        <v>5</v>
      </c>
      <c r="B10" s="95" t="s">
        <v>468</v>
      </c>
      <c r="C10" s="96" t="s">
        <v>484</v>
      </c>
      <c r="D10" s="46" t="s">
        <v>451</v>
      </c>
      <c r="E10" s="52">
        <v>27</v>
      </c>
      <c r="F10" s="52">
        <v>27</v>
      </c>
      <c r="G10" s="52">
        <v>18</v>
      </c>
      <c r="H10" s="52">
        <v>18</v>
      </c>
      <c r="I10" s="52">
        <f t="shared" si="0"/>
        <v>90</v>
      </c>
      <c r="J10" s="95">
        <f t="shared" ref="J10" si="2">ROUND((I10+I11)/2,2)</f>
        <v>90</v>
      </c>
    </row>
    <row r="11" spans="1:10" ht="18" customHeight="1" x14ac:dyDescent="0.3">
      <c r="A11" s="94"/>
      <c r="B11" s="95"/>
      <c r="C11" s="96"/>
      <c r="D11" s="46" t="s">
        <v>452</v>
      </c>
      <c r="E11" s="52">
        <v>27</v>
      </c>
      <c r="F11" s="52">
        <v>27</v>
      </c>
      <c r="G11" s="52">
        <v>18</v>
      </c>
      <c r="H11" s="52">
        <v>18</v>
      </c>
      <c r="I11" s="52">
        <f t="shared" si="0"/>
        <v>90</v>
      </c>
      <c r="J11" s="95"/>
    </row>
    <row r="12" spans="1:10" ht="18" customHeight="1" x14ac:dyDescent="0.3">
      <c r="A12" s="94">
        <v>6</v>
      </c>
      <c r="B12" s="95" t="s">
        <v>485</v>
      </c>
      <c r="C12" s="96" t="s">
        <v>486</v>
      </c>
      <c r="D12" s="46" t="s">
        <v>451</v>
      </c>
      <c r="E12" s="52">
        <v>27</v>
      </c>
      <c r="F12" s="52">
        <v>27</v>
      </c>
      <c r="G12" s="52">
        <v>18</v>
      </c>
      <c r="H12" s="52">
        <v>18</v>
      </c>
      <c r="I12" s="52">
        <f t="shared" si="0"/>
        <v>90</v>
      </c>
      <c r="J12" s="95">
        <f t="shared" ref="J12" si="3">ROUND((I12+I13)/2,2)</f>
        <v>90</v>
      </c>
    </row>
    <row r="13" spans="1:10" ht="18" customHeight="1" x14ac:dyDescent="0.3">
      <c r="A13" s="94"/>
      <c r="B13" s="95"/>
      <c r="C13" s="96"/>
      <c r="D13" s="46" t="s">
        <v>452</v>
      </c>
      <c r="E13" s="52">
        <v>27</v>
      </c>
      <c r="F13" s="52">
        <v>27</v>
      </c>
      <c r="G13" s="52">
        <v>18</v>
      </c>
      <c r="H13" s="52">
        <v>18</v>
      </c>
      <c r="I13" s="52">
        <f t="shared" si="0"/>
        <v>90</v>
      </c>
      <c r="J13" s="95"/>
    </row>
    <row r="14" spans="1:10" ht="18" customHeight="1" x14ac:dyDescent="0.3">
      <c r="A14" s="94">
        <v>7</v>
      </c>
      <c r="B14" s="95" t="s">
        <v>469</v>
      </c>
      <c r="C14" s="96" t="s">
        <v>470</v>
      </c>
      <c r="D14" s="46" t="s">
        <v>453</v>
      </c>
      <c r="E14" s="52">
        <v>20</v>
      </c>
      <c r="F14" s="52">
        <v>25</v>
      </c>
      <c r="G14" s="52">
        <v>20</v>
      </c>
      <c r="H14" s="52">
        <v>20</v>
      </c>
      <c r="I14" s="52">
        <v>85</v>
      </c>
      <c r="J14" s="95">
        <f t="shared" ref="J14" si="4">ROUND((I14+I15)/2,2)</f>
        <v>89</v>
      </c>
    </row>
    <row r="15" spans="1:10" ht="18" customHeight="1" x14ac:dyDescent="0.3">
      <c r="A15" s="94"/>
      <c r="B15" s="95"/>
      <c r="C15" s="96"/>
      <c r="D15" s="46" t="s">
        <v>454</v>
      </c>
      <c r="E15" s="52">
        <v>28</v>
      </c>
      <c r="F15" s="52">
        <v>27</v>
      </c>
      <c r="G15" s="52">
        <v>19</v>
      </c>
      <c r="H15" s="52">
        <v>19</v>
      </c>
      <c r="I15" s="52">
        <f t="shared" si="0"/>
        <v>93</v>
      </c>
      <c r="J15" s="95"/>
    </row>
    <row r="16" spans="1:10" ht="18" customHeight="1" x14ac:dyDescent="0.3">
      <c r="A16" s="94">
        <v>8</v>
      </c>
      <c r="B16" s="95" t="s">
        <v>487</v>
      </c>
      <c r="C16" s="96" t="s">
        <v>488</v>
      </c>
      <c r="D16" s="46" t="s">
        <v>453</v>
      </c>
      <c r="E16" s="52">
        <v>25</v>
      </c>
      <c r="F16" s="52">
        <v>20</v>
      </c>
      <c r="G16" s="52">
        <v>15</v>
      </c>
      <c r="H16" s="52">
        <v>20</v>
      </c>
      <c r="I16" s="52">
        <f t="shared" si="0"/>
        <v>80</v>
      </c>
      <c r="J16" s="95">
        <f t="shared" ref="J16" si="5">ROUND((I16+I17)/2,2)</f>
        <v>85</v>
      </c>
    </row>
    <row r="17" spans="1:10" ht="18" customHeight="1" x14ac:dyDescent="0.3">
      <c r="A17" s="94"/>
      <c r="B17" s="95"/>
      <c r="C17" s="96"/>
      <c r="D17" s="46" t="s">
        <v>454</v>
      </c>
      <c r="E17" s="52">
        <v>27</v>
      </c>
      <c r="F17" s="52">
        <v>26</v>
      </c>
      <c r="G17" s="52">
        <v>18</v>
      </c>
      <c r="H17" s="52">
        <v>19</v>
      </c>
      <c r="I17" s="52">
        <f t="shared" si="0"/>
        <v>90</v>
      </c>
      <c r="J17" s="95"/>
    </row>
    <row r="18" spans="1:10" ht="18" customHeight="1" x14ac:dyDescent="0.3">
      <c r="A18" s="94">
        <v>9</v>
      </c>
      <c r="B18" s="95" t="s">
        <v>489</v>
      </c>
      <c r="C18" s="96" t="s">
        <v>490</v>
      </c>
      <c r="D18" s="46" t="s">
        <v>453</v>
      </c>
      <c r="E18" s="52">
        <v>25</v>
      </c>
      <c r="F18" s="52">
        <v>25</v>
      </c>
      <c r="G18" s="52">
        <v>17</v>
      </c>
      <c r="H18" s="52">
        <v>20</v>
      </c>
      <c r="I18" s="52">
        <f t="shared" si="0"/>
        <v>87</v>
      </c>
      <c r="J18" s="95">
        <f t="shared" ref="J18" si="6">ROUND((I18+I19)/2,2)</f>
        <v>89</v>
      </c>
    </row>
    <row r="19" spans="1:10" ht="18" customHeight="1" x14ac:dyDescent="0.3">
      <c r="A19" s="94"/>
      <c r="B19" s="95"/>
      <c r="C19" s="96"/>
      <c r="D19" s="46" t="s">
        <v>454</v>
      </c>
      <c r="E19" s="52">
        <v>28</v>
      </c>
      <c r="F19" s="52">
        <v>26</v>
      </c>
      <c r="G19" s="52">
        <v>18</v>
      </c>
      <c r="H19" s="52">
        <v>19</v>
      </c>
      <c r="I19" s="52">
        <f t="shared" si="0"/>
        <v>91</v>
      </c>
      <c r="J19" s="95"/>
    </row>
    <row r="20" spans="1:10" ht="18" customHeight="1" x14ac:dyDescent="0.3">
      <c r="A20" s="94">
        <v>10</v>
      </c>
      <c r="B20" s="95" t="s">
        <v>491</v>
      </c>
      <c r="C20" s="96" t="s">
        <v>492</v>
      </c>
      <c r="D20" s="46" t="s">
        <v>455</v>
      </c>
      <c r="E20" s="52">
        <v>24.6</v>
      </c>
      <c r="F20" s="52">
        <v>25.8</v>
      </c>
      <c r="G20" s="52">
        <v>16.399999999999999</v>
      </c>
      <c r="H20" s="52">
        <v>17.2</v>
      </c>
      <c r="I20" s="52">
        <f>SUM(E20:H20)</f>
        <v>84.000000000000014</v>
      </c>
      <c r="J20" s="95">
        <f>ROUND((I20+I21+I22)/3,2)</f>
        <v>86.6</v>
      </c>
    </row>
    <row r="21" spans="1:10" ht="18" customHeight="1" x14ac:dyDescent="0.3">
      <c r="A21" s="94"/>
      <c r="B21" s="95"/>
      <c r="C21" s="96"/>
      <c r="D21" s="46" t="s">
        <v>456</v>
      </c>
      <c r="E21" s="55">
        <v>26.1</v>
      </c>
      <c r="F21" s="55">
        <v>26.1</v>
      </c>
      <c r="G21" s="55">
        <v>17.8</v>
      </c>
      <c r="H21" s="55">
        <v>17.8</v>
      </c>
      <c r="I21" s="55">
        <f>SUM(E21:H21)</f>
        <v>87.8</v>
      </c>
      <c r="J21" s="95"/>
    </row>
    <row r="22" spans="1:10" ht="18" customHeight="1" x14ac:dyDescent="0.3">
      <c r="A22" s="94"/>
      <c r="B22" s="95"/>
      <c r="C22" s="96"/>
      <c r="D22" s="46" t="s">
        <v>457</v>
      </c>
      <c r="E22" s="52">
        <v>28</v>
      </c>
      <c r="F22" s="52">
        <v>25</v>
      </c>
      <c r="G22" s="52">
        <v>18</v>
      </c>
      <c r="H22" s="52">
        <v>17</v>
      </c>
      <c r="I22" s="52">
        <f t="shared" si="0"/>
        <v>88</v>
      </c>
      <c r="J22" s="95"/>
    </row>
    <row r="23" spans="1:10" ht="18" customHeight="1" x14ac:dyDescent="0.3">
      <c r="A23" s="94">
        <v>11</v>
      </c>
      <c r="B23" s="95" t="s">
        <v>493</v>
      </c>
      <c r="C23" s="96" t="s">
        <v>494</v>
      </c>
      <c r="D23" s="46" t="s">
        <v>455</v>
      </c>
      <c r="E23" s="52">
        <v>26.7</v>
      </c>
      <c r="F23" s="52">
        <v>27.3</v>
      </c>
      <c r="G23" s="52">
        <v>17.8</v>
      </c>
      <c r="H23" s="52">
        <v>18.2</v>
      </c>
      <c r="I23" s="52">
        <f>SUM(E23:H23)</f>
        <v>90</v>
      </c>
      <c r="J23" s="95">
        <f t="shared" ref="J23" si="7">ROUND((I23+I24+I25)/3,2)</f>
        <v>90.47</v>
      </c>
    </row>
    <row r="24" spans="1:10" ht="18" customHeight="1" x14ac:dyDescent="0.3">
      <c r="A24" s="94"/>
      <c r="B24" s="95"/>
      <c r="C24" s="96"/>
      <c r="D24" s="46" t="s">
        <v>456</v>
      </c>
      <c r="E24" s="55">
        <v>27.3</v>
      </c>
      <c r="F24" s="55">
        <v>27.3</v>
      </c>
      <c r="G24" s="55">
        <v>18.399999999999999</v>
      </c>
      <c r="H24" s="55">
        <v>18.399999999999999</v>
      </c>
      <c r="I24" s="55">
        <f>SUM(E24:H24)</f>
        <v>91.4</v>
      </c>
      <c r="J24" s="95"/>
    </row>
    <row r="25" spans="1:10" ht="18" customHeight="1" x14ac:dyDescent="0.3">
      <c r="A25" s="94"/>
      <c r="B25" s="95"/>
      <c r="C25" s="96"/>
      <c r="D25" s="46" t="s">
        <v>457</v>
      </c>
      <c r="E25" s="52">
        <v>27</v>
      </c>
      <c r="F25" s="52">
        <v>27</v>
      </c>
      <c r="G25" s="52">
        <v>18</v>
      </c>
      <c r="H25" s="52">
        <v>18</v>
      </c>
      <c r="I25" s="52">
        <f t="shared" si="0"/>
        <v>90</v>
      </c>
      <c r="J25" s="95"/>
    </row>
    <row r="26" spans="1:10" ht="18" customHeight="1" x14ac:dyDescent="0.3">
      <c r="A26" s="94">
        <v>12</v>
      </c>
      <c r="B26" s="95" t="s">
        <v>495</v>
      </c>
      <c r="C26" s="96" t="s">
        <v>496</v>
      </c>
      <c r="D26" s="46" t="s">
        <v>455</v>
      </c>
      <c r="E26" s="52">
        <v>25.8</v>
      </c>
      <c r="F26" s="52">
        <v>25.8</v>
      </c>
      <c r="G26" s="52">
        <v>17.2</v>
      </c>
      <c r="H26" s="52">
        <v>17.2</v>
      </c>
      <c r="I26" s="52">
        <f>SUM(E26:H26)</f>
        <v>86</v>
      </c>
      <c r="J26" s="95">
        <f t="shared" ref="J26" si="8">ROUND((I26+I27+I28)/3,2)</f>
        <v>88.8</v>
      </c>
    </row>
    <row r="27" spans="1:10" ht="18" customHeight="1" x14ac:dyDescent="0.3">
      <c r="A27" s="94"/>
      <c r="B27" s="95"/>
      <c r="C27" s="96"/>
      <c r="D27" s="46" t="s">
        <v>456</v>
      </c>
      <c r="E27" s="55">
        <v>27</v>
      </c>
      <c r="F27" s="55">
        <v>27</v>
      </c>
      <c r="G27" s="55">
        <v>18.2</v>
      </c>
      <c r="H27" s="55">
        <v>18.2</v>
      </c>
      <c r="I27" s="55">
        <f>SUM(E27:H27)</f>
        <v>90.4</v>
      </c>
      <c r="J27" s="95"/>
    </row>
    <row r="28" spans="1:10" ht="18" customHeight="1" x14ac:dyDescent="0.3">
      <c r="A28" s="94"/>
      <c r="B28" s="95"/>
      <c r="C28" s="96"/>
      <c r="D28" s="46" t="s">
        <v>457</v>
      </c>
      <c r="E28" s="52">
        <v>27</v>
      </c>
      <c r="F28" s="52">
        <v>27</v>
      </c>
      <c r="G28" s="52">
        <v>18</v>
      </c>
      <c r="H28" s="52">
        <v>18</v>
      </c>
      <c r="I28" s="52">
        <f t="shared" si="0"/>
        <v>90</v>
      </c>
      <c r="J28" s="95"/>
    </row>
    <row r="29" spans="1:10" ht="18" customHeight="1" x14ac:dyDescent="0.3">
      <c r="A29" s="94">
        <v>13</v>
      </c>
      <c r="B29" s="95" t="s">
        <v>497</v>
      </c>
      <c r="C29" s="96" t="s">
        <v>498</v>
      </c>
      <c r="D29" s="46" t="s">
        <v>455</v>
      </c>
      <c r="E29" s="52">
        <v>27</v>
      </c>
      <c r="F29" s="52">
        <v>26.4</v>
      </c>
      <c r="G29" s="52">
        <v>18</v>
      </c>
      <c r="H29" s="52">
        <v>17.600000000000001</v>
      </c>
      <c r="I29" s="52">
        <f>SUM(E29:H29)</f>
        <v>89</v>
      </c>
      <c r="J29" s="95">
        <f t="shared" ref="J29" si="9">ROUND((I29+I30+I31)/3,2)</f>
        <v>89.83</v>
      </c>
    </row>
    <row r="30" spans="1:10" ht="18" customHeight="1" x14ac:dyDescent="0.3">
      <c r="A30" s="94"/>
      <c r="B30" s="95"/>
      <c r="C30" s="96"/>
      <c r="D30" s="46" t="s">
        <v>456</v>
      </c>
      <c r="E30" s="55">
        <v>26.4</v>
      </c>
      <c r="F30" s="55">
        <v>26.4</v>
      </c>
      <c r="G30" s="55">
        <v>17.8</v>
      </c>
      <c r="H30" s="55">
        <v>17.8</v>
      </c>
      <c r="I30" s="55">
        <v>88.5</v>
      </c>
      <c r="J30" s="95"/>
    </row>
    <row r="31" spans="1:10" ht="18" customHeight="1" x14ac:dyDescent="0.3">
      <c r="A31" s="94"/>
      <c r="B31" s="95"/>
      <c r="C31" s="96"/>
      <c r="D31" s="46" t="s">
        <v>457</v>
      </c>
      <c r="E31" s="52">
        <v>28</v>
      </c>
      <c r="F31" s="52">
        <v>28</v>
      </c>
      <c r="G31" s="52">
        <v>18</v>
      </c>
      <c r="H31" s="52">
        <v>18</v>
      </c>
      <c r="I31" s="52">
        <f t="shared" si="0"/>
        <v>92</v>
      </c>
      <c r="J31" s="95"/>
    </row>
    <row r="32" spans="1:10" ht="18" customHeight="1" x14ac:dyDescent="0.3">
      <c r="A32" s="94">
        <v>14</v>
      </c>
      <c r="B32" s="95" t="s">
        <v>499</v>
      </c>
      <c r="C32" s="96" t="s">
        <v>500</v>
      </c>
      <c r="D32" s="46" t="s">
        <v>458</v>
      </c>
      <c r="E32" s="52">
        <v>28</v>
      </c>
      <c r="F32" s="52">
        <v>27</v>
      </c>
      <c r="G32" s="52">
        <v>17</v>
      </c>
      <c r="H32" s="52">
        <v>18</v>
      </c>
      <c r="I32" s="52">
        <f t="shared" si="0"/>
        <v>90</v>
      </c>
      <c r="J32" s="95">
        <f t="shared" ref="J32" si="10">ROUND((I32+I33+I34)/3,2)</f>
        <v>89</v>
      </c>
    </row>
    <row r="33" spans="1:10" ht="18" customHeight="1" x14ac:dyDescent="0.3">
      <c r="A33" s="94"/>
      <c r="B33" s="95"/>
      <c r="C33" s="96"/>
      <c r="D33" s="46" t="s">
        <v>459</v>
      </c>
      <c r="E33" s="52">
        <v>27</v>
      </c>
      <c r="F33" s="52">
        <v>27</v>
      </c>
      <c r="G33" s="52">
        <v>18</v>
      </c>
      <c r="H33" s="52">
        <v>17</v>
      </c>
      <c r="I33" s="52">
        <f t="shared" si="0"/>
        <v>89</v>
      </c>
      <c r="J33" s="95"/>
    </row>
    <row r="34" spans="1:10" ht="18" customHeight="1" x14ac:dyDescent="0.3">
      <c r="A34" s="94"/>
      <c r="B34" s="95"/>
      <c r="C34" s="96"/>
      <c r="D34" s="46" t="s">
        <v>460</v>
      </c>
      <c r="E34" s="52">
        <v>28</v>
      </c>
      <c r="F34" s="52">
        <v>26</v>
      </c>
      <c r="G34" s="52">
        <v>16</v>
      </c>
      <c r="H34" s="52">
        <v>18</v>
      </c>
      <c r="I34" s="52">
        <f t="shared" si="0"/>
        <v>88</v>
      </c>
      <c r="J34" s="95"/>
    </row>
    <row r="35" spans="1:10" ht="18" customHeight="1" x14ac:dyDescent="0.3">
      <c r="A35" s="94">
        <v>15</v>
      </c>
      <c r="B35" s="95" t="s">
        <v>501</v>
      </c>
      <c r="C35" s="96" t="s">
        <v>502</v>
      </c>
      <c r="D35" s="46" t="s">
        <v>458</v>
      </c>
      <c r="E35" s="52">
        <v>26</v>
      </c>
      <c r="F35" s="52">
        <v>26</v>
      </c>
      <c r="G35" s="52">
        <v>17</v>
      </c>
      <c r="H35" s="52">
        <v>17</v>
      </c>
      <c r="I35" s="52">
        <f t="shared" si="0"/>
        <v>86</v>
      </c>
      <c r="J35" s="95">
        <f>ROUND((I35+I36+I37)/3,2)</f>
        <v>83.67</v>
      </c>
    </row>
    <row r="36" spans="1:10" ht="18" customHeight="1" x14ac:dyDescent="0.3">
      <c r="A36" s="94"/>
      <c r="B36" s="95"/>
      <c r="C36" s="96"/>
      <c r="D36" s="46" t="s">
        <v>459</v>
      </c>
      <c r="E36" s="52">
        <v>27</v>
      </c>
      <c r="F36" s="52">
        <v>25</v>
      </c>
      <c r="G36" s="52">
        <v>15</v>
      </c>
      <c r="H36" s="52">
        <v>18</v>
      </c>
      <c r="I36" s="52">
        <f t="shared" si="0"/>
        <v>85</v>
      </c>
      <c r="J36" s="95"/>
    </row>
    <row r="37" spans="1:10" ht="18" customHeight="1" x14ac:dyDescent="0.3">
      <c r="A37" s="94"/>
      <c r="B37" s="95"/>
      <c r="C37" s="96"/>
      <c r="D37" s="46" t="s">
        <v>460</v>
      </c>
      <c r="E37" s="52">
        <v>23</v>
      </c>
      <c r="F37" s="52">
        <v>25</v>
      </c>
      <c r="G37" s="52">
        <v>15</v>
      </c>
      <c r="H37" s="52">
        <v>17</v>
      </c>
      <c r="I37" s="52">
        <f t="shared" si="0"/>
        <v>80</v>
      </c>
      <c r="J37" s="95"/>
    </row>
    <row r="38" spans="1:10" ht="18" customHeight="1" x14ac:dyDescent="0.3">
      <c r="A38" s="94">
        <v>16</v>
      </c>
      <c r="B38" s="95" t="s">
        <v>503</v>
      </c>
      <c r="C38" s="96" t="s">
        <v>472</v>
      </c>
      <c r="D38" s="46" t="s">
        <v>458</v>
      </c>
      <c r="E38" s="52">
        <v>28</v>
      </c>
      <c r="F38" s="52">
        <v>27</v>
      </c>
      <c r="G38" s="52">
        <v>17</v>
      </c>
      <c r="H38" s="52">
        <v>17</v>
      </c>
      <c r="I38" s="52">
        <f t="shared" si="0"/>
        <v>89</v>
      </c>
      <c r="J38" s="95">
        <f t="shared" ref="J38" si="11">ROUND((I38+I39+I40)/3,2)</f>
        <v>87.67</v>
      </c>
    </row>
    <row r="39" spans="1:10" ht="18" customHeight="1" x14ac:dyDescent="0.3">
      <c r="A39" s="94"/>
      <c r="B39" s="95"/>
      <c r="C39" s="96"/>
      <c r="D39" s="46" t="s">
        <v>459</v>
      </c>
      <c r="E39" s="52">
        <v>28</v>
      </c>
      <c r="F39" s="52">
        <v>26</v>
      </c>
      <c r="G39" s="52">
        <v>17</v>
      </c>
      <c r="H39" s="52">
        <v>19</v>
      </c>
      <c r="I39" s="52">
        <f t="shared" si="0"/>
        <v>90</v>
      </c>
      <c r="J39" s="95"/>
    </row>
    <row r="40" spans="1:10" ht="18" customHeight="1" x14ac:dyDescent="0.3">
      <c r="A40" s="94"/>
      <c r="B40" s="95"/>
      <c r="C40" s="96"/>
      <c r="D40" s="46" t="s">
        <v>460</v>
      </c>
      <c r="E40" s="52">
        <v>27</v>
      </c>
      <c r="F40" s="52">
        <v>26</v>
      </c>
      <c r="G40" s="52">
        <v>15</v>
      </c>
      <c r="H40" s="52">
        <v>16</v>
      </c>
      <c r="I40" s="52">
        <f t="shared" si="0"/>
        <v>84</v>
      </c>
      <c r="J40" s="95"/>
    </row>
    <row r="41" spans="1:10" ht="18" customHeight="1" x14ac:dyDescent="0.3">
      <c r="A41" s="94">
        <v>17</v>
      </c>
      <c r="B41" s="95" t="s">
        <v>504</v>
      </c>
      <c r="C41" s="96" t="s">
        <v>505</v>
      </c>
      <c r="D41" s="46" t="s">
        <v>458</v>
      </c>
      <c r="E41" s="52">
        <v>28</v>
      </c>
      <c r="F41" s="52">
        <v>26</v>
      </c>
      <c r="G41" s="52">
        <v>17</v>
      </c>
      <c r="H41" s="52">
        <v>19</v>
      </c>
      <c r="I41" s="52">
        <f t="shared" si="0"/>
        <v>90</v>
      </c>
      <c r="J41" s="95">
        <f t="shared" ref="J41" si="12">ROUND((I41+I42+I43)/3,2)</f>
        <v>89</v>
      </c>
    </row>
    <row r="42" spans="1:10" ht="18" customHeight="1" x14ac:dyDescent="0.3">
      <c r="A42" s="94"/>
      <c r="B42" s="95"/>
      <c r="C42" s="96"/>
      <c r="D42" s="46" t="s">
        <v>459</v>
      </c>
      <c r="E42" s="52">
        <v>25</v>
      </c>
      <c r="F42" s="52">
        <v>28</v>
      </c>
      <c r="G42" s="52">
        <v>19</v>
      </c>
      <c r="H42" s="52">
        <v>19</v>
      </c>
      <c r="I42" s="52">
        <f t="shared" si="0"/>
        <v>91</v>
      </c>
      <c r="J42" s="95"/>
    </row>
    <row r="43" spans="1:10" ht="18" customHeight="1" x14ac:dyDescent="0.3">
      <c r="A43" s="94"/>
      <c r="B43" s="95"/>
      <c r="C43" s="96"/>
      <c r="D43" s="46" t="s">
        <v>460</v>
      </c>
      <c r="E43" s="52">
        <v>28</v>
      </c>
      <c r="F43" s="52">
        <v>26</v>
      </c>
      <c r="G43" s="52">
        <v>15</v>
      </c>
      <c r="H43" s="52">
        <v>17</v>
      </c>
      <c r="I43" s="52">
        <f t="shared" si="0"/>
        <v>86</v>
      </c>
      <c r="J43" s="95"/>
    </row>
    <row r="44" spans="1:10" ht="18" customHeight="1" x14ac:dyDescent="0.3">
      <c r="A44" s="94">
        <v>18</v>
      </c>
      <c r="B44" s="95" t="s">
        <v>471</v>
      </c>
      <c r="C44" s="96" t="s">
        <v>506</v>
      </c>
      <c r="D44" s="46" t="s">
        <v>461</v>
      </c>
      <c r="E44" s="52"/>
      <c r="F44" s="52"/>
      <c r="G44" s="52"/>
      <c r="H44" s="52"/>
      <c r="I44" s="52">
        <f t="shared" si="0"/>
        <v>0</v>
      </c>
      <c r="J44" s="95">
        <f>ROUND((I44+I45)/2,2)</f>
        <v>0</v>
      </c>
    </row>
    <row r="45" spans="1:10" ht="18" customHeight="1" x14ac:dyDescent="0.3">
      <c r="A45" s="94"/>
      <c r="B45" s="95"/>
      <c r="C45" s="96"/>
      <c r="D45" s="46" t="s">
        <v>462</v>
      </c>
      <c r="E45" s="52"/>
      <c r="F45" s="52"/>
      <c r="G45" s="52"/>
      <c r="H45" s="52"/>
      <c r="I45" s="52">
        <f t="shared" si="0"/>
        <v>0</v>
      </c>
      <c r="J45" s="95"/>
    </row>
    <row r="46" spans="1:10" ht="18" customHeight="1" x14ac:dyDescent="0.3">
      <c r="A46" s="94">
        <v>19</v>
      </c>
      <c r="B46" s="95" t="s">
        <v>507</v>
      </c>
      <c r="C46" s="96" t="s">
        <v>508</v>
      </c>
      <c r="D46" s="46" t="s">
        <v>461</v>
      </c>
      <c r="E46" s="52"/>
      <c r="F46" s="52"/>
      <c r="G46" s="52"/>
      <c r="H46" s="52"/>
      <c r="I46" s="52">
        <f t="shared" si="0"/>
        <v>0</v>
      </c>
      <c r="J46" s="95">
        <f t="shared" ref="J46" si="13">ROUND((I46+I47)/2,2)</f>
        <v>0</v>
      </c>
    </row>
    <row r="47" spans="1:10" ht="18" customHeight="1" x14ac:dyDescent="0.3">
      <c r="A47" s="94"/>
      <c r="B47" s="95"/>
      <c r="C47" s="96"/>
      <c r="D47" s="46" t="s">
        <v>462</v>
      </c>
      <c r="E47" s="52"/>
      <c r="F47" s="52"/>
      <c r="G47" s="52"/>
      <c r="H47" s="52"/>
      <c r="I47" s="52">
        <f t="shared" si="0"/>
        <v>0</v>
      </c>
      <c r="J47" s="95"/>
    </row>
    <row r="48" spans="1:10" ht="18" customHeight="1" x14ac:dyDescent="0.3">
      <c r="A48" s="94">
        <v>20</v>
      </c>
      <c r="B48" s="95" t="s">
        <v>509</v>
      </c>
      <c r="C48" s="96" t="s">
        <v>510</v>
      </c>
      <c r="D48" s="46" t="s">
        <v>461</v>
      </c>
      <c r="E48" s="52"/>
      <c r="F48" s="52"/>
      <c r="G48" s="52"/>
      <c r="H48" s="52"/>
      <c r="I48" s="52">
        <f t="shared" si="0"/>
        <v>0</v>
      </c>
      <c r="J48" s="95">
        <f t="shared" ref="J48" si="14">ROUND((I48+I49)/2,2)</f>
        <v>0</v>
      </c>
    </row>
    <row r="49" spans="1:10" ht="18" customHeight="1" x14ac:dyDescent="0.3">
      <c r="A49" s="94"/>
      <c r="B49" s="95"/>
      <c r="C49" s="96"/>
      <c r="D49" s="46" t="s">
        <v>462</v>
      </c>
      <c r="E49" s="52"/>
      <c r="F49" s="52"/>
      <c r="G49" s="52"/>
      <c r="H49" s="52"/>
      <c r="I49" s="52">
        <f t="shared" si="0"/>
        <v>0</v>
      </c>
      <c r="J49" s="95"/>
    </row>
    <row r="50" spans="1:10" ht="18" customHeight="1" x14ac:dyDescent="0.3">
      <c r="A50" s="94">
        <v>21</v>
      </c>
      <c r="B50" s="95" t="s">
        <v>511</v>
      </c>
      <c r="C50" s="96" t="s">
        <v>512</v>
      </c>
      <c r="D50" s="46" t="s">
        <v>461</v>
      </c>
      <c r="E50" s="52"/>
      <c r="F50" s="52"/>
      <c r="G50" s="52"/>
      <c r="H50" s="52"/>
      <c r="I50" s="52">
        <f t="shared" si="0"/>
        <v>0</v>
      </c>
      <c r="J50" s="95">
        <f t="shared" ref="J50" si="15">ROUND((I50+I51)/2,2)</f>
        <v>0</v>
      </c>
    </row>
    <row r="51" spans="1:10" ht="18" customHeight="1" x14ac:dyDescent="0.3">
      <c r="A51" s="94"/>
      <c r="B51" s="95"/>
      <c r="C51" s="96"/>
      <c r="D51" s="46" t="s">
        <v>462</v>
      </c>
      <c r="E51" s="52"/>
      <c r="F51" s="52"/>
      <c r="G51" s="52"/>
      <c r="H51" s="52"/>
      <c r="I51" s="52">
        <f t="shared" si="0"/>
        <v>0</v>
      </c>
      <c r="J51" s="95"/>
    </row>
  </sheetData>
  <sortState ref="A2:E109">
    <sortCondition ref="A2:A109"/>
  </sortState>
  <mergeCells count="84">
    <mergeCell ref="J48:J49"/>
    <mergeCell ref="J50:J51"/>
    <mergeCell ref="J32:J34"/>
    <mergeCell ref="J35:J37"/>
    <mergeCell ref="J38:J40"/>
    <mergeCell ref="J41:J43"/>
    <mergeCell ref="J44:J45"/>
    <mergeCell ref="J46:J47"/>
    <mergeCell ref="J16:J17"/>
    <mergeCell ref="J18:J19"/>
    <mergeCell ref="J20:J22"/>
    <mergeCell ref="J23:J25"/>
    <mergeCell ref="J26:J28"/>
    <mergeCell ref="J29:J31"/>
    <mergeCell ref="A50:A51"/>
    <mergeCell ref="B50:B51"/>
    <mergeCell ref="C50:C51"/>
    <mergeCell ref="J2:J3"/>
    <mergeCell ref="J4:J5"/>
    <mergeCell ref="J6:J7"/>
    <mergeCell ref="J8:J9"/>
    <mergeCell ref="J10:J11"/>
    <mergeCell ref="J12:J13"/>
    <mergeCell ref="J14:J15"/>
    <mergeCell ref="A46:A47"/>
    <mergeCell ref="B46:B47"/>
    <mergeCell ref="C46:C47"/>
    <mergeCell ref="A48:A49"/>
    <mergeCell ref="B48:B49"/>
    <mergeCell ref="C48:C49"/>
    <mergeCell ref="A41:A43"/>
    <mergeCell ref="B41:B43"/>
    <mergeCell ref="C41:C43"/>
    <mergeCell ref="A44:A45"/>
    <mergeCell ref="B44:B45"/>
    <mergeCell ref="C44:C45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8:A19"/>
    <mergeCell ref="B18:B19"/>
    <mergeCell ref="C18:C19"/>
    <mergeCell ref="A20:A22"/>
    <mergeCell ref="B20:B22"/>
    <mergeCell ref="C20:C22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分組</vt:lpstr>
      <vt:lpstr>分組 (2)</vt:lpstr>
      <vt:lpstr>1110928檢查</vt:lpstr>
      <vt:lpstr>開會</vt:lpstr>
      <vt:lpstr>12月12日專題發表時間</vt:lpstr>
      <vt:lpstr>12月12日專題發表資料</vt:lpstr>
      <vt:lpstr>1221初賽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2023-04-13T01:56:28Z</cp:lastPrinted>
  <dcterms:created xsi:type="dcterms:W3CDTF">2018-10-16T07:38:34Z</dcterms:created>
  <dcterms:modified xsi:type="dcterms:W3CDTF">2023-12-12T07:24:03Z</dcterms:modified>
</cp:coreProperties>
</file>